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7F770498-2E90-4B94-84E8-29827DF66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4" i="1"/>
  <c r="Q53" i="1" l="1"/>
  <c r="Q54" i="1"/>
  <c r="Q55" i="1"/>
  <c r="Q56" i="1"/>
  <c r="Q57" i="1"/>
  <c r="Q58" i="1"/>
  <c r="V58" i="1" s="1"/>
  <c r="O58" i="1"/>
  <c r="G58" i="1"/>
  <c r="H58" i="1"/>
  <c r="I58" i="1" s="1"/>
  <c r="O53" i="1" l="1"/>
  <c r="O54" i="1"/>
  <c r="O55" i="1"/>
  <c r="O56" i="1"/>
  <c r="O57" i="1"/>
  <c r="V57" i="1"/>
  <c r="G57" i="1"/>
  <c r="H57" i="1"/>
  <c r="I57" i="1" s="1"/>
  <c r="F83" i="1" l="1"/>
  <c r="F82" i="1"/>
  <c r="F81" i="1"/>
  <c r="W65" i="1"/>
  <c r="U65" i="1"/>
  <c r="T65" i="1"/>
  <c r="S65" i="1"/>
  <c r="R65" i="1"/>
  <c r="P65" i="1"/>
  <c r="N65" i="1"/>
  <c r="M65" i="1"/>
  <c r="L65" i="1"/>
  <c r="Q64" i="1"/>
  <c r="V64" i="1" s="1"/>
  <c r="X64" i="1" s="1"/>
  <c r="O64" i="1"/>
  <c r="H64" i="1"/>
  <c r="I64" i="1" s="1"/>
  <c r="Q63" i="1"/>
  <c r="V63" i="1" s="1"/>
  <c r="X63" i="1" s="1"/>
  <c r="O63" i="1"/>
  <c r="H63" i="1"/>
  <c r="I63" i="1" s="1"/>
  <c r="Q62" i="1"/>
  <c r="V62" i="1" s="1"/>
  <c r="X62" i="1" s="1"/>
  <c r="O62" i="1"/>
  <c r="I62" i="1"/>
  <c r="Q61" i="1"/>
  <c r="V61" i="1" s="1"/>
  <c r="X61" i="1" s="1"/>
  <c r="O61" i="1"/>
  <c r="H61" i="1"/>
  <c r="I61" i="1" s="1"/>
  <c r="G61" i="1"/>
  <c r="Q60" i="1"/>
  <c r="V60" i="1" s="1"/>
  <c r="X60" i="1" s="1"/>
  <c r="O60" i="1"/>
  <c r="H60" i="1"/>
  <c r="I60" i="1" s="1"/>
  <c r="G60" i="1"/>
  <c r="Q59" i="1"/>
  <c r="V59" i="1" s="1"/>
  <c r="X59" i="1" s="1"/>
  <c r="O59" i="1"/>
  <c r="H59" i="1"/>
  <c r="I59" i="1" s="1"/>
  <c r="G59" i="1"/>
  <c r="H56" i="1"/>
  <c r="I56" i="1" s="1"/>
  <c r="G56" i="1"/>
  <c r="V55" i="1"/>
  <c r="X55" i="1" s="1"/>
  <c r="H55" i="1"/>
  <c r="I55" i="1" s="1"/>
  <c r="G55" i="1"/>
  <c r="H54" i="1"/>
  <c r="I54" i="1" s="1"/>
  <c r="G54" i="1"/>
  <c r="H53" i="1"/>
  <c r="I53" i="1" s="1"/>
  <c r="G53" i="1"/>
  <c r="Q52" i="1"/>
  <c r="V52" i="1" s="1"/>
  <c r="X52" i="1" s="1"/>
  <c r="O52" i="1"/>
  <c r="H52" i="1"/>
  <c r="I52" i="1" s="1"/>
  <c r="G52" i="1"/>
  <c r="Q51" i="1"/>
  <c r="V51" i="1" s="1"/>
  <c r="X51" i="1" s="1"/>
  <c r="O51" i="1"/>
  <c r="H51" i="1"/>
  <c r="I51" i="1" s="1"/>
  <c r="G51" i="1"/>
  <c r="Q50" i="1"/>
  <c r="V50" i="1" s="1"/>
  <c r="X50" i="1" s="1"/>
  <c r="O50" i="1"/>
  <c r="H50" i="1"/>
  <c r="I50" i="1" s="1"/>
  <c r="G50" i="1"/>
  <c r="Q49" i="1"/>
  <c r="V49" i="1" s="1"/>
  <c r="X49" i="1" s="1"/>
  <c r="O49" i="1"/>
  <c r="H49" i="1"/>
  <c r="I49" i="1" s="1"/>
  <c r="G49" i="1"/>
  <c r="Q48" i="1"/>
  <c r="V48" i="1" s="1"/>
  <c r="X48" i="1" s="1"/>
  <c r="O48" i="1"/>
  <c r="H48" i="1"/>
  <c r="I48" i="1" s="1"/>
  <c r="G48" i="1"/>
  <c r="Q47" i="1"/>
  <c r="V47" i="1" s="1"/>
  <c r="X47" i="1" s="1"/>
  <c r="O47" i="1"/>
  <c r="H47" i="1"/>
  <c r="I47" i="1" s="1"/>
  <c r="G47" i="1"/>
  <c r="Q46" i="1"/>
  <c r="V46" i="1" s="1"/>
  <c r="X46" i="1" s="1"/>
  <c r="O46" i="1"/>
  <c r="H46" i="1"/>
  <c r="I46" i="1" s="1"/>
  <c r="G46" i="1"/>
  <c r="Q45" i="1"/>
  <c r="V45" i="1" s="1"/>
  <c r="X45" i="1" s="1"/>
  <c r="O45" i="1"/>
  <c r="H45" i="1"/>
  <c r="I45" i="1" s="1"/>
  <c r="G45" i="1"/>
  <c r="Q44" i="1"/>
  <c r="V44" i="1" s="1"/>
  <c r="X44" i="1" s="1"/>
  <c r="O44" i="1"/>
  <c r="H44" i="1"/>
  <c r="I44" i="1" s="1"/>
  <c r="G44" i="1"/>
  <c r="Q43" i="1"/>
  <c r="V43" i="1" s="1"/>
  <c r="X43" i="1" s="1"/>
  <c r="O43" i="1"/>
  <c r="H43" i="1"/>
  <c r="I43" i="1" s="1"/>
  <c r="G43" i="1"/>
  <c r="Q42" i="1"/>
  <c r="V42" i="1" s="1"/>
  <c r="X42" i="1" s="1"/>
  <c r="O42" i="1"/>
  <c r="H42" i="1"/>
  <c r="I42" i="1" s="1"/>
  <c r="G42" i="1"/>
  <c r="Q41" i="1"/>
  <c r="V41" i="1" s="1"/>
  <c r="X41" i="1" s="1"/>
  <c r="O41" i="1"/>
  <c r="H41" i="1"/>
  <c r="I41" i="1" s="1"/>
  <c r="G41" i="1"/>
  <c r="Q40" i="1"/>
  <c r="V40" i="1" s="1"/>
  <c r="X40" i="1" s="1"/>
  <c r="O40" i="1"/>
  <c r="H40" i="1"/>
  <c r="I40" i="1" s="1"/>
  <c r="G40" i="1"/>
  <c r="Q39" i="1"/>
  <c r="V39" i="1" s="1"/>
  <c r="X39" i="1" s="1"/>
  <c r="O39" i="1"/>
  <c r="H39" i="1"/>
  <c r="I39" i="1" s="1"/>
  <c r="G39" i="1"/>
  <c r="Q38" i="1"/>
  <c r="V38" i="1" s="1"/>
  <c r="X38" i="1" s="1"/>
  <c r="O38" i="1"/>
  <c r="H38" i="1"/>
  <c r="I38" i="1" s="1"/>
  <c r="G38" i="1"/>
  <c r="Q37" i="1"/>
  <c r="V37" i="1" s="1"/>
  <c r="X37" i="1" s="1"/>
  <c r="O37" i="1"/>
  <c r="H37" i="1"/>
  <c r="I37" i="1" s="1"/>
  <c r="G37" i="1"/>
  <c r="Q36" i="1"/>
  <c r="V36" i="1" s="1"/>
  <c r="X36" i="1" s="1"/>
  <c r="O36" i="1"/>
  <c r="H36" i="1"/>
  <c r="I36" i="1" s="1"/>
  <c r="G36" i="1"/>
  <c r="Q35" i="1"/>
  <c r="V35" i="1" s="1"/>
  <c r="X35" i="1" s="1"/>
  <c r="O35" i="1"/>
  <c r="H35" i="1"/>
  <c r="I35" i="1" s="1"/>
  <c r="Q34" i="1"/>
  <c r="V34" i="1" s="1"/>
  <c r="X34" i="1" s="1"/>
  <c r="O34" i="1"/>
  <c r="H34" i="1"/>
  <c r="I34" i="1" s="1"/>
  <c r="Q33" i="1"/>
  <c r="V33" i="1" s="1"/>
  <c r="X33" i="1" s="1"/>
  <c r="O33" i="1"/>
  <c r="H33" i="1"/>
  <c r="I33" i="1" s="1"/>
  <c r="G33" i="1"/>
  <c r="Q32" i="1"/>
  <c r="V32" i="1" s="1"/>
  <c r="X32" i="1" s="1"/>
  <c r="O32" i="1"/>
  <c r="H32" i="1"/>
  <c r="I32" i="1" s="1"/>
  <c r="G32" i="1"/>
  <c r="Q31" i="1"/>
  <c r="V31" i="1" s="1"/>
  <c r="X31" i="1" s="1"/>
  <c r="O31" i="1"/>
  <c r="H31" i="1"/>
  <c r="I31" i="1" s="1"/>
  <c r="G31" i="1"/>
  <c r="Q30" i="1"/>
  <c r="V30" i="1" s="1"/>
  <c r="X30" i="1" s="1"/>
  <c r="O30" i="1"/>
  <c r="H30" i="1"/>
  <c r="I30" i="1" s="1"/>
  <c r="G30" i="1"/>
  <c r="Q29" i="1"/>
  <c r="V29" i="1" s="1"/>
  <c r="X29" i="1" s="1"/>
  <c r="O29" i="1"/>
  <c r="H29" i="1"/>
  <c r="I29" i="1" s="1"/>
  <c r="G29" i="1"/>
  <c r="Q28" i="1"/>
  <c r="V28" i="1" s="1"/>
  <c r="X28" i="1" s="1"/>
  <c r="O28" i="1"/>
  <c r="H28" i="1"/>
  <c r="I28" i="1" s="1"/>
  <c r="G28" i="1"/>
  <c r="Q27" i="1"/>
  <c r="V27" i="1" s="1"/>
  <c r="X27" i="1" s="1"/>
  <c r="O27" i="1"/>
  <c r="H27" i="1"/>
  <c r="I27" i="1" s="1"/>
  <c r="G27" i="1"/>
  <c r="Q26" i="1"/>
  <c r="V26" i="1" s="1"/>
  <c r="X26" i="1" s="1"/>
  <c r="O26" i="1"/>
  <c r="H26" i="1"/>
  <c r="I26" i="1" s="1"/>
  <c r="G26" i="1"/>
  <c r="Q25" i="1"/>
  <c r="V25" i="1" s="1"/>
  <c r="X25" i="1" s="1"/>
  <c r="O25" i="1"/>
  <c r="H25" i="1"/>
  <c r="I25" i="1" s="1"/>
  <c r="G25" i="1"/>
  <c r="Q24" i="1"/>
  <c r="V24" i="1" s="1"/>
  <c r="X24" i="1" s="1"/>
  <c r="O24" i="1"/>
  <c r="H24" i="1"/>
  <c r="I24" i="1" s="1"/>
  <c r="G24" i="1"/>
  <c r="Q23" i="1"/>
  <c r="V23" i="1" s="1"/>
  <c r="X23" i="1" s="1"/>
  <c r="O23" i="1"/>
  <c r="H23" i="1"/>
  <c r="I23" i="1" s="1"/>
  <c r="G23" i="1"/>
  <c r="Q22" i="1"/>
  <c r="V22" i="1" s="1"/>
  <c r="X22" i="1" s="1"/>
  <c r="O22" i="1"/>
  <c r="H22" i="1"/>
  <c r="I22" i="1" s="1"/>
  <c r="G22" i="1"/>
  <c r="Q21" i="1"/>
  <c r="V21" i="1" s="1"/>
  <c r="X21" i="1" s="1"/>
  <c r="O21" i="1"/>
  <c r="H21" i="1"/>
  <c r="I21" i="1" s="1"/>
  <c r="G21" i="1"/>
  <c r="Q20" i="1"/>
  <c r="V20" i="1" s="1"/>
  <c r="X20" i="1" s="1"/>
  <c r="O20" i="1"/>
  <c r="H20" i="1"/>
  <c r="I20" i="1" s="1"/>
  <c r="G20" i="1"/>
  <c r="Q19" i="1"/>
  <c r="V19" i="1" s="1"/>
  <c r="X19" i="1" s="1"/>
  <c r="O19" i="1"/>
  <c r="H19" i="1"/>
  <c r="I19" i="1" s="1"/>
  <c r="G19" i="1"/>
  <c r="Q18" i="1"/>
  <c r="V18" i="1" s="1"/>
  <c r="X18" i="1" s="1"/>
  <c r="O18" i="1"/>
  <c r="H18" i="1"/>
  <c r="I18" i="1" s="1"/>
  <c r="G18" i="1"/>
  <c r="Q17" i="1"/>
  <c r="V17" i="1" s="1"/>
  <c r="X17" i="1" s="1"/>
  <c r="O17" i="1"/>
  <c r="H17" i="1"/>
  <c r="I17" i="1" s="1"/>
  <c r="G17" i="1"/>
  <c r="Q16" i="1"/>
  <c r="V16" i="1" s="1"/>
  <c r="X16" i="1" s="1"/>
  <c r="O16" i="1"/>
  <c r="H16" i="1"/>
  <c r="I16" i="1" s="1"/>
  <c r="G16" i="1"/>
  <c r="Q15" i="1"/>
  <c r="V15" i="1" s="1"/>
  <c r="X15" i="1" s="1"/>
  <c r="O15" i="1"/>
  <c r="H15" i="1"/>
  <c r="I15" i="1" s="1"/>
  <c r="G15" i="1"/>
  <c r="Q14" i="1"/>
  <c r="V14" i="1" s="1"/>
  <c r="X14" i="1" s="1"/>
  <c r="O14" i="1"/>
  <c r="H14" i="1"/>
  <c r="I14" i="1" s="1"/>
  <c r="G14" i="1"/>
  <c r="Q13" i="1"/>
  <c r="V13" i="1" s="1"/>
  <c r="X13" i="1" s="1"/>
  <c r="O13" i="1"/>
  <c r="H13" i="1"/>
  <c r="I13" i="1" s="1"/>
  <c r="G13" i="1"/>
  <c r="Q12" i="1"/>
  <c r="V12" i="1" s="1"/>
  <c r="X12" i="1" s="1"/>
  <c r="O12" i="1"/>
  <c r="H12" i="1"/>
  <c r="I12" i="1" s="1"/>
  <c r="G12" i="1"/>
  <c r="Q11" i="1"/>
  <c r="V11" i="1" s="1"/>
  <c r="X11" i="1" s="1"/>
  <c r="O11" i="1"/>
  <c r="H11" i="1"/>
  <c r="I11" i="1" s="1"/>
  <c r="G11" i="1"/>
  <c r="Q10" i="1"/>
  <c r="V10" i="1" s="1"/>
  <c r="X10" i="1" s="1"/>
  <c r="O10" i="1"/>
  <c r="H10" i="1"/>
  <c r="I10" i="1" s="1"/>
  <c r="G10" i="1"/>
  <c r="Q9" i="1"/>
  <c r="V9" i="1" s="1"/>
  <c r="X9" i="1" s="1"/>
  <c r="O9" i="1"/>
  <c r="H9" i="1"/>
  <c r="I9" i="1" s="1"/>
  <c r="G9" i="1"/>
  <c r="Q8" i="1"/>
  <c r="V8" i="1" s="1"/>
  <c r="X8" i="1" s="1"/>
  <c r="O8" i="1"/>
  <c r="H8" i="1"/>
  <c r="I8" i="1" s="1"/>
  <c r="G8" i="1"/>
  <c r="Q7" i="1"/>
  <c r="V7" i="1" s="1"/>
  <c r="X7" i="1" s="1"/>
  <c r="O7" i="1"/>
  <c r="H7" i="1"/>
  <c r="I7" i="1" s="1"/>
  <c r="G7" i="1"/>
  <c r="Q6" i="1"/>
  <c r="V6" i="1" s="1"/>
  <c r="X6" i="1" s="1"/>
  <c r="O6" i="1"/>
  <c r="H6" i="1"/>
  <c r="I6" i="1" s="1"/>
  <c r="G6" i="1"/>
  <c r="Q5" i="1"/>
  <c r="V5" i="1" s="1"/>
  <c r="X5" i="1" s="1"/>
  <c r="O5" i="1"/>
  <c r="H5" i="1"/>
  <c r="I5" i="1" s="1"/>
  <c r="G5" i="1"/>
  <c r="Q4" i="1"/>
  <c r="V4" i="1" s="1"/>
  <c r="X4" i="1" s="1"/>
  <c r="O4" i="1"/>
  <c r="H4" i="1"/>
  <c r="I4" i="1" s="1"/>
  <c r="G4" i="1"/>
  <c r="Q65" i="1" l="1"/>
  <c r="V53" i="1"/>
  <c r="X53" i="1" s="1"/>
  <c r="V56" i="1"/>
  <c r="X56" i="1" s="1"/>
  <c r="V54" i="1"/>
  <c r="X54" i="1" s="1"/>
  <c r="Y33" i="1"/>
  <c r="Y5" i="1"/>
  <c r="O65" i="1"/>
  <c r="W84" i="1"/>
  <c r="S84" i="1"/>
  <c r="R83" i="1"/>
  <c r="N83" i="1"/>
  <c r="R82" i="1"/>
  <c r="N82" i="1"/>
  <c r="R81" i="1"/>
  <c r="N81" i="1"/>
  <c r="R80" i="1"/>
  <c r="N80" i="1"/>
  <c r="U79" i="1"/>
  <c r="M79" i="1"/>
  <c r="T78" i="1"/>
  <c r="P78" i="1"/>
  <c r="L78" i="1"/>
  <c r="W77" i="1"/>
  <c r="S77" i="1"/>
  <c r="R76" i="1"/>
  <c r="N76" i="1"/>
  <c r="U75" i="1"/>
  <c r="M75" i="1"/>
  <c r="T74" i="1"/>
  <c r="P74" i="1"/>
  <c r="L74" i="1"/>
  <c r="W73" i="1"/>
  <c r="S73" i="1"/>
  <c r="R72" i="1"/>
  <c r="N72" i="1"/>
  <c r="R71" i="1"/>
  <c r="N71" i="1"/>
  <c r="U70" i="1"/>
  <c r="M70" i="1"/>
  <c r="U69" i="1"/>
  <c r="M69" i="1"/>
  <c r="R84" i="1"/>
  <c r="N84" i="1"/>
  <c r="U83" i="1"/>
  <c r="M83" i="1"/>
  <c r="U82" i="1"/>
  <c r="M82" i="1"/>
  <c r="U81" i="1"/>
  <c r="M81" i="1"/>
  <c r="U80" i="1"/>
  <c r="M80" i="1"/>
  <c r="T79" i="1"/>
  <c r="P79" i="1"/>
  <c r="L79" i="1"/>
  <c r="W78" i="1"/>
  <c r="S78" i="1"/>
  <c r="R77" i="1"/>
  <c r="N77" i="1"/>
  <c r="U76" i="1"/>
  <c r="M76" i="1"/>
  <c r="T75" i="1"/>
  <c r="P75" i="1"/>
  <c r="L75" i="1"/>
  <c r="W74" i="1"/>
  <c r="S74" i="1"/>
  <c r="R73" i="1"/>
  <c r="N73" i="1"/>
  <c r="U72" i="1"/>
  <c r="M72" i="1"/>
  <c r="U71" i="1"/>
  <c r="M71" i="1"/>
  <c r="T70" i="1"/>
  <c r="P70" i="1"/>
  <c r="L70" i="1"/>
  <c r="T69" i="1"/>
  <c r="P69" i="1"/>
  <c r="L69" i="1"/>
  <c r="U68" i="1"/>
  <c r="M68" i="1"/>
  <c r="T67" i="1"/>
  <c r="P67" i="1"/>
  <c r="T84" i="1"/>
  <c r="P84" i="1"/>
  <c r="L84" i="1"/>
  <c r="W83" i="1"/>
  <c r="S83" i="1"/>
  <c r="W82" i="1"/>
  <c r="S82" i="1"/>
  <c r="W81" i="1"/>
  <c r="S81" i="1"/>
  <c r="W80" i="1"/>
  <c r="S80" i="1"/>
  <c r="R79" i="1"/>
  <c r="N79" i="1"/>
  <c r="U78" i="1"/>
  <c r="M78" i="1"/>
  <c r="T77" i="1"/>
  <c r="P77" i="1"/>
  <c r="L77" i="1"/>
  <c r="W76" i="1"/>
  <c r="S76" i="1"/>
  <c r="R75" i="1"/>
  <c r="N75" i="1"/>
  <c r="U74" i="1"/>
  <c r="M74" i="1"/>
  <c r="T73" i="1"/>
  <c r="P73" i="1"/>
  <c r="L73" i="1"/>
  <c r="W72" i="1"/>
  <c r="S72" i="1"/>
  <c r="P82" i="1"/>
  <c r="P80" i="1"/>
  <c r="W79" i="1"/>
  <c r="M77" i="1"/>
  <c r="T76" i="1"/>
  <c r="N74" i="1"/>
  <c r="K72" i="1"/>
  <c r="W71" i="1"/>
  <c r="W70" i="1"/>
  <c r="R69" i="1"/>
  <c r="P68" i="1"/>
  <c r="U67" i="1"/>
  <c r="K67" i="1"/>
  <c r="M84" i="1"/>
  <c r="T83" i="1"/>
  <c r="L82" i="1"/>
  <c r="T81" i="1"/>
  <c r="L80" i="1"/>
  <c r="S79" i="1"/>
  <c r="P76" i="1"/>
  <c r="W75" i="1"/>
  <c r="M73" i="1"/>
  <c r="T72" i="1"/>
  <c r="T71" i="1"/>
  <c r="L71" i="1"/>
  <c r="N70" i="1"/>
  <c r="W69" i="1"/>
  <c r="T68" i="1"/>
  <c r="S67" i="1"/>
  <c r="N67" i="1"/>
  <c r="P83" i="1"/>
  <c r="P89" i="1" s="1"/>
  <c r="P81" i="1"/>
  <c r="R78" i="1"/>
  <c r="U77" i="1"/>
  <c r="L76" i="1"/>
  <c r="S75" i="1"/>
  <c r="P72" i="1"/>
  <c r="S71" i="1"/>
  <c r="S70" i="1"/>
  <c r="K70" i="1"/>
  <c r="N69" i="1"/>
  <c r="S68" i="1"/>
  <c r="N68" i="1"/>
  <c r="Q68" i="1" s="1"/>
  <c r="W67" i="1"/>
  <c r="R67" i="1"/>
  <c r="M67" i="1"/>
  <c r="U84" i="1"/>
  <c r="L83" i="1"/>
  <c r="T82" i="1"/>
  <c r="L81" i="1"/>
  <c r="T80" i="1"/>
  <c r="N78" i="1"/>
  <c r="R74" i="1"/>
  <c r="U73" i="1"/>
  <c r="L72" i="1"/>
  <c r="P71" i="1"/>
  <c r="R70" i="1"/>
  <c r="S69" i="1"/>
  <c r="K69" i="1"/>
  <c r="W68" i="1"/>
  <c r="R68" i="1"/>
  <c r="L68" i="1"/>
  <c r="L67" i="1"/>
  <c r="V65" i="1"/>
  <c r="X65" i="1" s="1"/>
  <c r="Q78" i="1" l="1"/>
  <c r="Q79" i="1"/>
  <c r="V79" i="1" s="1"/>
  <c r="X79" i="1" s="1"/>
  <c r="Q70" i="1"/>
  <c r="S89" i="1"/>
  <c r="Q69" i="1"/>
  <c r="W89" i="1"/>
  <c r="W85" i="1"/>
  <c r="W88" i="1"/>
  <c r="O82" i="1"/>
  <c r="O70" i="1"/>
  <c r="V70" i="1"/>
  <c r="X70" i="1" s="1"/>
  <c r="O79" i="1"/>
  <c r="Q76" i="1"/>
  <c r="V76" i="1" s="1"/>
  <c r="X76" i="1" s="1"/>
  <c r="O78" i="1"/>
  <c r="V78" i="1"/>
  <c r="X78" i="1" s="1"/>
  <c r="R89" i="1"/>
  <c r="U88" i="1"/>
  <c r="U85" i="1"/>
  <c r="Q77" i="1"/>
  <c r="V77" i="1" s="1"/>
  <c r="X77" i="1" s="1"/>
  <c r="L88" i="1"/>
  <c r="O67" i="1"/>
  <c r="L85" i="1"/>
  <c r="O72" i="1"/>
  <c r="O76" i="1"/>
  <c r="T89" i="1"/>
  <c r="P88" i="1"/>
  <c r="P90" i="1" s="1"/>
  <c r="P85" i="1"/>
  <c r="O69" i="1"/>
  <c r="V69" i="1"/>
  <c r="X69" i="1" s="1"/>
  <c r="M89" i="1"/>
  <c r="Q71" i="1"/>
  <c r="Q80" i="1"/>
  <c r="V80" i="1" s="1"/>
  <c r="X80" i="1" s="1"/>
  <c r="Q82" i="1"/>
  <c r="V82" i="1" s="1"/>
  <c r="X82" i="1" s="1"/>
  <c r="L89" i="1"/>
  <c r="O83" i="1"/>
  <c r="V68" i="1"/>
  <c r="X68" i="1" s="1"/>
  <c r="O68" i="1"/>
  <c r="O81" i="1"/>
  <c r="M88" i="1"/>
  <c r="M85" i="1"/>
  <c r="N85" i="1"/>
  <c r="N88" i="1"/>
  <c r="Q67" i="1"/>
  <c r="V67" i="1" s="1"/>
  <c r="O80" i="1"/>
  <c r="Q74" i="1"/>
  <c r="V74" i="1" s="1"/>
  <c r="X74" i="1" s="1"/>
  <c r="O73" i="1"/>
  <c r="O84" i="1"/>
  <c r="T88" i="1"/>
  <c r="T85" i="1"/>
  <c r="U89" i="1"/>
  <c r="R85" i="1"/>
  <c r="R88" i="1"/>
  <c r="S85" i="1"/>
  <c r="S88" i="1"/>
  <c r="S90" i="1" s="1"/>
  <c r="V71" i="1"/>
  <c r="X71" i="1" s="1"/>
  <c r="O71" i="1"/>
  <c r="Q75" i="1"/>
  <c r="V75" i="1" s="1"/>
  <c r="X75" i="1" s="1"/>
  <c r="O77" i="1"/>
  <c r="Q73" i="1"/>
  <c r="V73" i="1" s="1"/>
  <c r="X73" i="1" s="1"/>
  <c r="O75" i="1"/>
  <c r="Q84" i="1"/>
  <c r="V84" i="1" s="1"/>
  <c r="X84" i="1" s="1"/>
  <c r="Q72" i="1"/>
  <c r="V72" i="1" s="1"/>
  <c r="X72" i="1" s="1"/>
  <c r="O74" i="1"/>
  <c r="Q81" i="1"/>
  <c r="V81" i="1" s="1"/>
  <c r="X81" i="1" s="1"/>
  <c r="Q83" i="1"/>
  <c r="V83" i="1" s="1"/>
  <c r="X83" i="1" s="1"/>
  <c r="N89" i="1"/>
  <c r="W90" i="1" l="1"/>
  <c r="X89" i="1"/>
  <c r="M90" i="1"/>
  <c r="M91" i="1" s="1"/>
  <c r="T90" i="1"/>
  <c r="T91" i="1" s="1"/>
  <c r="O89" i="1"/>
  <c r="N90" i="1"/>
  <c r="N91" i="1" s="1"/>
  <c r="Q85" i="1"/>
  <c r="V85" i="1" s="1"/>
  <c r="X85" i="1" s="1"/>
  <c r="N86" i="1"/>
  <c r="L93" i="1"/>
  <c r="P91" i="1"/>
  <c r="P86" i="1"/>
  <c r="L92" i="1"/>
  <c r="L86" i="1"/>
  <c r="U86" i="1"/>
  <c r="R86" i="1"/>
  <c r="S91" i="1"/>
  <c r="S86" i="1"/>
  <c r="T86" i="1"/>
  <c r="M86" i="1"/>
  <c r="O85" i="1"/>
  <c r="O88" i="1"/>
  <c r="U90" i="1"/>
  <c r="U91" i="1" s="1"/>
  <c r="Y68" i="1"/>
  <c r="X67" i="1"/>
  <c r="X88" i="1" s="1"/>
  <c r="Q89" i="1"/>
  <c r="V89" i="1" s="1"/>
  <c r="R90" i="1"/>
  <c r="R91" i="1" s="1"/>
  <c r="Q88" i="1"/>
  <c r="V88" i="1" s="1"/>
  <c r="L90" i="1"/>
  <c r="W91" i="1"/>
  <c r="W86" i="1"/>
  <c r="O90" i="1" l="1"/>
  <c r="O91" i="1" s="1"/>
  <c r="L94" i="1"/>
  <c r="L95" i="1" s="1"/>
  <c r="X90" i="1"/>
  <c r="X91" i="1" s="1"/>
  <c r="O86" i="1"/>
  <c r="Q90" i="1"/>
  <c r="V90" i="1" s="1"/>
  <c r="L91" i="1"/>
  <c r="Q86" i="1"/>
  <c r="V86" i="1" s="1"/>
  <c r="Q91" i="1" l="1"/>
  <c r="V91" i="1" s="1"/>
  <c r="V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1634000 TBR 05.03.</t>
        </r>
      </text>
    </comment>
    <comment ref="M1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500.000 DODAJEMO ZA GAS
</t>
        </r>
      </text>
    </comment>
    <comment ref="M13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usluge čišćenja za Novu Crvenku</t>
        </r>
      </text>
    </comment>
    <comment ref="R49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данација за Сунчицу-родитељи</t>
        </r>
      </text>
    </comment>
    <comment ref="L57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ТБР 05.02.2025.
</t>
        </r>
      </text>
    </comment>
    <comment ref="M57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тбр 05.09.2025.
</t>
        </r>
      </text>
    </comment>
    <comment ref="L5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charset val="1"/>
          </rPr>
          <t xml:space="preserve">
лифт-Колибри
</t>
        </r>
      </text>
    </comment>
  </commentList>
</comments>
</file>

<file path=xl/sharedStrings.xml><?xml version="1.0" encoding="utf-8"?>
<sst xmlns="http://schemas.openxmlformats.org/spreadsheetml/2006/main" count="215" uniqueCount="149">
  <si>
    <t>Ребаланс 1/2024</t>
  </si>
  <si>
    <t>Р а з д е о</t>
  </si>
  <si>
    <t>Г л а в а</t>
  </si>
  <si>
    <t>П р о г р а м</t>
  </si>
  <si>
    <t>Програмске Активности</t>
  </si>
  <si>
    <t>Функц. класиф.</t>
  </si>
  <si>
    <t>Економска 
класификација</t>
  </si>
  <si>
    <t>Позиција</t>
  </si>
  <si>
    <t>О П И С</t>
  </si>
  <si>
    <t>број радника</t>
  </si>
  <si>
    <t>Општи приходи
 и примања буџета
(01)</t>
  </si>
  <si>
    <t>Захтев за додатна средства</t>
  </si>
  <si>
    <t>Трансфери од других нивоа власти
(07 - уплате на рачун Општине)</t>
  </si>
  <si>
    <t>УКУПНО 01
за ПУ Бамби</t>
  </si>
  <si>
    <t>Трансфери од других нивоа власти
(07 - уплате на рачун ПУ)</t>
  </si>
  <si>
    <t>Укупно
извор 07
Општина</t>
  </si>
  <si>
    <t>Добровољни трансфери од 
правних и физичких лица 
(08)</t>
  </si>
  <si>
    <t>Родитељски
 динар 
(16)</t>
  </si>
  <si>
    <t>Неутрошена средства донација, помоћи и трансфера из ранијих година
(15)</t>
  </si>
  <si>
    <t>Неутрошена средства трансфера од других нивоа власти  (17)</t>
  </si>
  <si>
    <t>Укупна 
јавна 
средства</t>
  </si>
  <si>
    <t>Разлика</t>
  </si>
  <si>
    <t>ПРЕДШКОЛСКА УСТАНОВА "БАМБИ"</t>
  </si>
  <si>
    <t xml:space="preserve">Припремни програм </t>
  </si>
  <si>
    <t xml:space="preserve">Буџет РС </t>
  </si>
  <si>
    <t>4</t>
  </si>
  <si>
    <t>2001</t>
  </si>
  <si>
    <t>0001</t>
  </si>
  <si>
    <t>411</t>
  </si>
  <si>
    <t>Плате, додаци и накнаде запослених (зараде)</t>
  </si>
  <si>
    <t>412</t>
  </si>
  <si>
    <t>Социјални доприноси на терет послодавца</t>
  </si>
  <si>
    <t>4131</t>
  </si>
  <si>
    <t>Накнаде у натури</t>
  </si>
  <si>
    <t>4143</t>
  </si>
  <si>
    <t xml:space="preserve">Отпремнине и помоћи </t>
  </si>
  <si>
    <t>Поправка пумпе за грејање у објекту Шећерко у Црвенки</t>
  </si>
  <si>
    <t>4144</t>
  </si>
  <si>
    <t xml:space="preserve">Помоћ у мед. лечењу запосленог или члана пород. </t>
  </si>
  <si>
    <t>4151</t>
  </si>
  <si>
    <t>Накнаде трошкова за запослене</t>
  </si>
  <si>
    <t>4161</t>
  </si>
  <si>
    <t>Награде запосленима и остали посебни расходи</t>
  </si>
  <si>
    <t>4211</t>
  </si>
  <si>
    <t xml:space="preserve">Трошкови платног промета и банкарских услуга </t>
  </si>
  <si>
    <t>4212</t>
  </si>
  <si>
    <t xml:space="preserve">Енергетске услуге </t>
  </si>
  <si>
    <t>4213</t>
  </si>
  <si>
    <t xml:space="preserve">Комуналне услуге </t>
  </si>
  <si>
    <t>4214</t>
  </si>
  <si>
    <t xml:space="preserve">Услуге комуникација </t>
  </si>
  <si>
    <t>4215</t>
  </si>
  <si>
    <t xml:space="preserve">Трошкови осигурања </t>
  </si>
  <si>
    <t>4221</t>
  </si>
  <si>
    <t>Трошкови службених путовања у земљи</t>
  </si>
  <si>
    <t>4223</t>
  </si>
  <si>
    <t>Трошкови путовања у оквиру редовног рада</t>
  </si>
  <si>
    <t>4232</t>
  </si>
  <si>
    <t xml:space="preserve">Компјутерске услуге </t>
  </si>
  <si>
    <t>4233</t>
  </si>
  <si>
    <t>Услуге образовања и усавршавања запослених</t>
  </si>
  <si>
    <t>4234</t>
  </si>
  <si>
    <t>Услуге информисања</t>
  </si>
  <si>
    <t>4236</t>
  </si>
  <si>
    <t>Услуге за домаћинство и угоститељство</t>
  </si>
  <si>
    <t>4235</t>
  </si>
  <si>
    <t>Стручне услуге</t>
  </si>
  <si>
    <t>4237</t>
  </si>
  <si>
    <t>Репрезентација</t>
  </si>
  <si>
    <t>4239</t>
  </si>
  <si>
    <t xml:space="preserve">Остале опште услуге </t>
  </si>
  <si>
    <t>4242</t>
  </si>
  <si>
    <t xml:space="preserve">Услуге образовања, културе у спорта </t>
  </si>
  <si>
    <t>4249</t>
  </si>
  <si>
    <t>Остале специјализоване услуге</t>
  </si>
  <si>
    <t xml:space="preserve">Зидарски радови </t>
  </si>
  <si>
    <t>425112</t>
  </si>
  <si>
    <t>Столарски радови</t>
  </si>
  <si>
    <t xml:space="preserve">Молерски радови </t>
  </si>
  <si>
    <t xml:space="preserve">Радови на крову </t>
  </si>
  <si>
    <t xml:space="preserve">Радови на водоводу и канализацији </t>
  </si>
  <si>
    <t xml:space="preserve">Централно грејање </t>
  </si>
  <si>
    <t xml:space="preserve">Електричне инсталације </t>
  </si>
  <si>
    <t>425100</t>
  </si>
  <si>
    <t>Механичке поправке (возила)</t>
  </si>
  <si>
    <t xml:space="preserve">Поправке електричне и електронске опреме </t>
  </si>
  <si>
    <t>Рачунарска опрема - сервис рачунара и тонери</t>
  </si>
  <si>
    <t>425224</t>
  </si>
  <si>
    <t>Електронска и фотографска опрема</t>
  </si>
  <si>
    <t xml:space="preserve">Опрема за домаћинство и угоститељство </t>
  </si>
  <si>
    <t xml:space="preserve">Биротехничка опрема </t>
  </si>
  <si>
    <t>425227</t>
  </si>
  <si>
    <t>Уградна опрема</t>
  </si>
  <si>
    <t>425281</t>
  </si>
  <si>
    <t>Текуће поправке и одржавање опреме за јавну безбедност</t>
  </si>
  <si>
    <t>4261</t>
  </si>
  <si>
    <t xml:space="preserve">Административни материјал </t>
  </si>
  <si>
    <t>4263</t>
  </si>
  <si>
    <t xml:space="preserve">Материјали за образовање и усавршавање запослених </t>
  </si>
  <si>
    <t>4264</t>
  </si>
  <si>
    <t>Материјали за саобраћај</t>
  </si>
  <si>
    <t>4266</t>
  </si>
  <si>
    <t>Материјал за образовање, културу и спорт</t>
  </si>
  <si>
    <t>4268</t>
  </si>
  <si>
    <t>Материјали за одржавање хигијене и угоститељство</t>
  </si>
  <si>
    <t>4269</t>
  </si>
  <si>
    <t>Материјали за посебне намене</t>
  </si>
  <si>
    <t>4651</t>
  </si>
  <si>
    <t xml:space="preserve">Остале текуће дотације и трансфери </t>
  </si>
  <si>
    <t>4821</t>
  </si>
  <si>
    <t xml:space="preserve">Остали порези </t>
  </si>
  <si>
    <t>4822</t>
  </si>
  <si>
    <t>Обавезне таксе</t>
  </si>
  <si>
    <t>4831</t>
  </si>
  <si>
    <t>Новчане казне и пенали по решењу судова</t>
  </si>
  <si>
    <t>4851</t>
  </si>
  <si>
    <t>Накнада штете за повреде или штету нанету од стране др. орг.</t>
  </si>
  <si>
    <t>5113</t>
  </si>
  <si>
    <t>Капитално одржавање зграда и објеката</t>
  </si>
  <si>
    <t>5114</t>
  </si>
  <si>
    <t xml:space="preserve">Пројкетно планирање </t>
  </si>
  <si>
    <t>5121</t>
  </si>
  <si>
    <t>Опрема за саобраћај</t>
  </si>
  <si>
    <t>5122</t>
  </si>
  <si>
    <t>Административна опрема</t>
  </si>
  <si>
    <t>5128</t>
  </si>
  <si>
    <t>Опрема за јавну безбедност</t>
  </si>
  <si>
    <t>Укупно</t>
  </si>
  <si>
    <t xml:space="preserve">Социјални доприноси на терет послодавца </t>
  </si>
  <si>
    <t xml:space="preserve">Накнада у натури </t>
  </si>
  <si>
    <t xml:space="preserve">Социјална давања запосленима 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</si>
  <si>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</si>
  <si>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</si>
  <si>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</si>
  <si>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</si>
  <si>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</si>
  <si>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</si>
  <si>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Остале дотације и трансфери</t>
  </si>
  <si>
    <t>Порези, обавезне таксе, казне, пенали и камате</t>
  </si>
  <si>
    <t>Накнада штете за повреде или штету нанету од стр.држ.огана</t>
  </si>
  <si>
    <t xml:space="preserve">Зграде и грађевински објекти </t>
  </si>
  <si>
    <t xml:space="preserve">Машине и опрема </t>
  </si>
  <si>
    <t>Текући расходи</t>
  </si>
  <si>
    <t>Нефинансијска имовина</t>
  </si>
  <si>
    <t>Укупни приходи из буџета (01,07,13,15 и 17 )</t>
  </si>
  <si>
    <t xml:space="preserve">Приходи из осталих извора </t>
  </si>
  <si>
    <t>Укупно:</t>
  </si>
  <si>
    <t>Накнаде штете</t>
  </si>
  <si>
    <t>Капитално одржавање објеката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</si>
</sst>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rgb="FFFF000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rgb="FFFF0000"/>
      <name val="Arial Narrow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 Narrow"/>
      <family val="2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/>
    </xf>
    <xf numFmtId="4" fontId="4" fillId="3" borderId="0" xfId="0" applyNumberFormat="1" applyFont="1" applyFill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textRotation="90"/>
    </xf>
    <xf numFmtId="49" fontId="5" fillId="4" borderId="1" xfId="0" applyNumberFormat="1" applyFont="1" applyFill="1" applyBorder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10" fontId="6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6" fillId="0" borderId="0" xfId="0" applyFont="1"/>
    <xf numFmtId="49" fontId="5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Protection="1">
      <protection hidden="1"/>
    </xf>
    <xf numFmtId="4" fontId="5" fillId="0" borderId="1" xfId="0" applyNumberFormat="1" applyFont="1" applyBorder="1"/>
    <xf numFmtId="4" fontId="7" fillId="0" borderId="1" xfId="0" applyNumberFormat="1" applyFont="1" applyBorder="1"/>
    <xf numFmtId="4" fontId="11" fillId="0" borderId="1" xfId="0" applyNumberFormat="1" applyFont="1" applyBorder="1"/>
    <xf numFmtId="0" fontId="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/>
    <xf numFmtId="10" fontId="5" fillId="0" borderId="1" xfId="0" applyNumberFormat="1" applyFont="1" applyBorder="1"/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49" fontId="7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Protection="1">
      <protection hidden="1"/>
    </xf>
    <xf numFmtId="4" fontId="7" fillId="6" borderId="1" xfId="0" applyNumberFormat="1" applyFont="1" applyFill="1" applyBorder="1"/>
    <xf numFmtId="4" fontId="5" fillId="6" borderId="1" xfId="0" applyNumberFormat="1" applyFont="1" applyFill="1" applyBorder="1"/>
    <xf numFmtId="0" fontId="3" fillId="6" borderId="0" xfId="0" applyFont="1" applyFill="1"/>
    <xf numFmtId="4" fontId="3" fillId="6" borderId="0" xfId="0" applyNumberFormat="1" applyFont="1" applyFill="1"/>
    <xf numFmtId="49" fontId="7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Protection="1">
      <protection hidden="1"/>
    </xf>
    <xf numFmtId="4" fontId="7" fillId="7" borderId="1" xfId="0" applyNumberFormat="1" applyFont="1" applyFill="1" applyBorder="1"/>
    <xf numFmtId="4" fontId="5" fillId="7" borderId="1" xfId="0" applyNumberFormat="1" applyFont="1" applyFill="1" applyBorder="1"/>
    <xf numFmtId="0" fontId="3" fillId="7" borderId="0" xfId="0" applyFont="1" applyFill="1"/>
    <xf numFmtId="4" fontId="5" fillId="8" borderId="1" xfId="0" applyNumberFormat="1" applyFont="1" applyFill="1" applyBorder="1"/>
    <xf numFmtId="49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Protection="1">
      <protection hidden="1"/>
    </xf>
    <xf numFmtId="4" fontId="8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4" fontId="6" fillId="0" borderId="5" xfId="0" applyNumberFormat="1" applyFont="1" applyBorder="1"/>
    <xf numFmtId="4" fontId="6" fillId="8" borderId="5" xfId="0" applyNumberFormat="1" applyFont="1" applyFill="1" applyBorder="1"/>
    <xf numFmtId="4" fontId="5" fillId="0" borderId="5" xfId="0" applyNumberFormat="1" applyFont="1" applyBorder="1"/>
    <xf numFmtId="0" fontId="3" fillId="0" borderId="6" xfId="0" applyFont="1" applyBorder="1"/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Protection="1">
      <protection hidden="1"/>
    </xf>
    <xf numFmtId="4" fontId="6" fillId="0" borderId="7" xfId="0" applyNumberFormat="1" applyFont="1" applyBorder="1"/>
    <xf numFmtId="4" fontId="6" fillId="8" borderId="7" xfId="0" applyNumberFormat="1" applyFont="1" applyFill="1" applyBorder="1"/>
    <xf numFmtId="3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1" xfId="0" applyFont="1" applyBorder="1"/>
    <xf numFmtId="0" fontId="5" fillId="0" borderId="1" xfId="0" applyFont="1" applyBorder="1"/>
    <xf numFmtId="0" fontId="14" fillId="0" borderId="1" xfId="0" applyFont="1" applyBorder="1"/>
    <xf numFmtId="0" fontId="14" fillId="0" borderId="0" xfId="0" applyFont="1"/>
    <xf numFmtId="4" fontId="14" fillId="0" borderId="0" xfId="0" applyNumberFormat="1" applyFont="1"/>
    <xf numFmtId="0" fontId="14" fillId="0" borderId="5" xfId="0" applyFont="1" applyBorder="1"/>
    <xf numFmtId="0" fontId="13" fillId="0" borderId="5" xfId="0" applyFont="1" applyBorder="1"/>
    <xf numFmtId="4" fontId="5" fillId="8" borderId="5" xfId="0" applyNumberFormat="1" applyFont="1" applyFill="1" applyBorder="1"/>
    <xf numFmtId="43" fontId="3" fillId="0" borderId="0" xfId="1" applyFont="1"/>
    <xf numFmtId="43" fontId="4" fillId="0" borderId="0" xfId="1" applyFon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4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4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15" fillId="0" borderId="0" xfId="1" applyNumberFormat="1" applyFont="1"/>
    <xf numFmtId="10" fontId="15" fillId="0" borderId="0" xfId="2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3" fontId="8" fillId="0" borderId="0" xfId="1" applyFont="1"/>
    <xf numFmtId="0" fontId="5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3" fontId="8" fillId="0" borderId="0" xfId="0" applyNumberFormat="1" applyFont="1"/>
    <xf numFmtId="4" fontId="10" fillId="0" borderId="1" xfId="0" applyNumberFormat="1" applyFont="1" applyBorder="1"/>
    <xf numFmtId="4" fontId="10" fillId="6" borderId="1" xfId="0" applyNumberFormat="1" applyFont="1" applyFill="1" applyBorder="1"/>
    <xf numFmtId="4" fontId="10" fillId="7" borderId="1" xfId="0" applyNumberFormat="1" applyFont="1" applyFill="1" applyBorder="1"/>
    <xf numFmtId="49" fontId="1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Protection="1">
      <protection hidden="1"/>
    </xf>
    <xf numFmtId="4" fontId="15" fillId="0" borderId="1" xfId="0" applyNumberFormat="1" applyFont="1" applyBorder="1"/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5"/>
  <sheetViews>
    <sheetView tabSelected="1" topLeftCell="K1" workbookViewId="0">
      <selection activeCell="R6" sqref="R6"/>
    </sheetView>
  </sheetViews>
  <sheetFormatPr defaultColWidth="8.28515625" defaultRowHeight="15" x14ac:dyDescent="0.25"/>
  <cols>
    <col min="1" max="2" width="3.42578125" style="1" hidden="1" customWidth="1"/>
    <col min="3" max="4" width="4.5703125" style="1" hidden="1" customWidth="1"/>
    <col min="5" max="5" width="4" style="1" hidden="1" customWidth="1"/>
    <col min="6" max="6" width="6.140625" style="1" bestFit="1" customWidth="1"/>
    <col min="7" max="7" width="6.140625" style="1" hidden="1" customWidth="1"/>
    <col min="8" max="8" width="3.7109375" style="1" bestFit="1" customWidth="1"/>
    <col min="9" max="9" width="4.28515625" style="1" bestFit="1" customWidth="1"/>
    <col min="10" max="10" width="44" style="1" customWidth="1"/>
    <col min="11" max="11" width="4.140625" style="1" customWidth="1"/>
    <col min="12" max="12" width="15.85546875" style="1" bestFit="1" customWidth="1"/>
    <col min="13" max="13" width="17.28515625" style="1" customWidth="1"/>
    <col min="14" max="14" width="14.28515625" style="1" customWidth="1"/>
    <col min="15" max="15" width="13.28515625" style="4" customWidth="1"/>
    <col min="16" max="17" width="14.28515625" style="1" customWidth="1"/>
    <col min="18" max="18" width="16.5703125" style="1" customWidth="1"/>
    <col min="19" max="19" width="10.7109375" style="1" bestFit="1" customWidth="1"/>
    <col min="20" max="20" width="18" style="1" bestFit="1" customWidth="1"/>
    <col min="21" max="21" width="16.5703125" style="1" customWidth="1"/>
    <col min="22" max="22" width="13.85546875" style="1" bestFit="1" customWidth="1"/>
    <col min="23" max="23" width="15.7109375" style="1" hidden="1" customWidth="1"/>
    <col min="24" max="24" width="12" style="1" hidden="1" customWidth="1"/>
    <col min="25" max="25" width="14.7109375" style="1" hidden="1" customWidth="1"/>
    <col min="26" max="16384" width="8.28515625" style="1"/>
  </cols>
  <sheetData>
    <row r="1" spans="1:28" x14ac:dyDescent="0.25">
      <c r="L1" s="2">
        <v>2025</v>
      </c>
      <c r="M1" s="3"/>
      <c r="V1" s="6"/>
      <c r="W1" s="7" t="s">
        <v>0</v>
      </c>
    </row>
    <row r="2" spans="1:28" s="21" customFormat="1" ht="73.5" customHeight="1" x14ac:dyDescent="0.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22" t="s">
        <v>6</v>
      </c>
      <c r="G2" s="123"/>
      <c r="H2" s="124"/>
      <c r="I2" s="10" t="s">
        <v>7</v>
      </c>
      <c r="J2" s="11" t="s">
        <v>8</v>
      </c>
      <c r="K2" s="12" t="s">
        <v>9</v>
      </c>
      <c r="L2" s="13" t="s">
        <v>10</v>
      </c>
      <c r="M2" s="13" t="s">
        <v>11</v>
      </c>
      <c r="N2" s="14" t="s">
        <v>12</v>
      </c>
      <c r="O2" s="15" t="s">
        <v>13</v>
      </c>
      <c r="P2" s="14" t="s">
        <v>14</v>
      </c>
      <c r="Q2" s="13" t="s">
        <v>15</v>
      </c>
      <c r="R2" s="15" t="s">
        <v>16</v>
      </c>
      <c r="S2" s="13" t="s">
        <v>17</v>
      </c>
      <c r="T2" s="13" t="s">
        <v>18</v>
      </c>
      <c r="U2" s="15" t="s">
        <v>19</v>
      </c>
      <c r="V2" s="13" t="s">
        <v>20</v>
      </c>
      <c r="W2" s="16" t="s">
        <v>20</v>
      </c>
      <c r="X2" s="13" t="s">
        <v>21</v>
      </c>
      <c r="Y2" s="17"/>
      <c r="Z2" s="18"/>
      <c r="AA2" s="19"/>
      <c r="AB2" s="20"/>
    </row>
    <row r="3" spans="1:28" s="33" customFormat="1" ht="25.5" x14ac:dyDescent="0.25">
      <c r="A3" s="22"/>
      <c r="B3" s="22"/>
      <c r="C3" s="22"/>
      <c r="D3" s="22"/>
      <c r="E3" s="23"/>
      <c r="F3" s="23"/>
      <c r="G3" s="24"/>
      <c r="H3" s="11"/>
      <c r="I3" s="11"/>
      <c r="J3" s="11" t="s">
        <v>22</v>
      </c>
      <c r="K3" s="11"/>
      <c r="L3" s="25"/>
      <c r="M3" s="25"/>
      <c r="N3" s="26" t="s">
        <v>23</v>
      </c>
      <c r="O3" s="26"/>
      <c r="P3" s="27" t="s">
        <v>24</v>
      </c>
      <c r="Q3" s="25"/>
      <c r="R3" s="27"/>
      <c r="S3" s="25"/>
      <c r="T3" s="25"/>
      <c r="U3" s="27"/>
      <c r="V3" s="25"/>
      <c r="W3" s="28"/>
      <c r="X3" s="25"/>
      <c r="Y3" s="29"/>
      <c r="Z3" s="30"/>
      <c r="AA3" s="31"/>
      <c r="AB3" s="32"/>
    </row>
    <row r="4" spans="1:28" x14ac:dyDescent="0.25">
      <c r="A4" s="34">
        <v>5</v>
      </c>
      <c r="B4" s="34" t="s">
        <v>25</v>
      </c>
      <c r="C4" s="34" t="s">
        <v>26</v>
      </c>
      <c r="D4" s="34" t="s">
        <v>27</v>
      </c>
      <c r="E4" s="34">
        <v>911</v>
      </c>
      <c r="F4" s="34" t="s">
        <v>28</v>
      </c>
      <c r="G4" s="34">
        <f>F4*1000</f>
        <v>411000</v>
      </c>
      <c r="H4" s="35">
        <f>IF(ISBLANK(F4)=TRUE,"",+VALUE(LEFT(F4,3)))</f>
        <v>411</v>
      </c>
      <c r="I4" s="35">
        <f t="shared" ref="I4:I35" si="0">VLOOKUP(H4,$H$67:$I$84,2,FALSE)</f>
        <v>178</v>
      </c>
      <c r="J4" s="36" t="s">
        <v>29</v>
      </c>
      <c r="K4" s="36">
        <v>145</v>
      </c>
      <c r="L4" s="37">
        <v>178719000</v>
      </c>
      <c r="M4" s="37"/>
      <c r="N4" s="38"/>
      <c r="O4" s="37">
        <f t="shared" ref="O4:O64" si="1">L4+M4+N4</f>
        <v>178719000</v>
      </c>
      <c r="P4" s="38"/>
      <c r="Q4" s="37">
        <f t="shared" ref="Q4:Q65" si="2">IFERROR(N4+P4,"")</f>
        <v>0</v>
      </c>
      <c r="R4" s="38">
        <f>1140000+602000</f>
        <v>1742000</v>
      </c>
      <c r="S4" s="37"/>
      <c r="T4" s="38">
        <v>93000</v>
      </c>
      <c r="U4" s="38"/>
      <c r="V4" s="37">
        <f>IFERROR(L4+M4+Q4+R4+S4+T4+U4,"")</f>
        <v>180554000</v>
      </c>
      <c r="W4" s="37">
        <v>179250000</v>
      </c>
      <c r="X4" s="37">
        <f>V4-W4</f>
        <v>1304000</v>
      </c>
    </row>
    <row r="5" spans="1:28" x14ac:dyDescent="0.25">
      <c r="A5" s="34">
        <v>5</v>
      </c>
      <c r="B5" s="34" t="s">
        <v>25</v>
      </c>
      <c r="C5" s="34" t="s">
        <v>26</v>
      </c>
      <c r="D5" s="34" t="s">
        <v>27</v>
      </c>
      <c r="E5" s="34">
        <v>911</v>
      </c>
      <c r="F5" s="34" t="s">
        <v>30</v>
      </c>
      <c r="G5" s="34">
        <f>F5*1000</f>
        <v>412000</v>
      </c>
      <c r="H5" s="40">
        <f t="shared" ref="H5:H64" si="3">IF(ISBLANK(F5)=TRUE,"",+VALUE(LEFT(F5,3)))</f>
        <v>412</v>
      </c>
      <c r="I5" s="40">
        <f t="shared" si="0"/>
        <v>179</v>
      </c>
      <c r="J5" s="41" t="s">
        <v>31</v>
      </c>
      <c r="K5" s="41"/>
      <c r="L5" s="37">
        <v>27076000</v>
      </c>
      <c r="M5" s="42"/>
      <c r="N5" s="38"/>
      <c r="O5" s="37">
        <f t="shared" si="1"/>
        <v>27076000</v>
      </c>
      <c r="P5" s="38"/>
      <c r="Q5" s="37">
        <f t="shared" si="2"/>
        <v>0</v>
      </c>
      <c r="R5" s="38">
        <f>181000+98000</f>
        <v>279000</v>
      </c>
      <c r="S5" s="37"/>
      <c r="T5" s="38">
        <v>19000</v>
      </c>
      <c r="U5" s="38"/>
      <c r="V5" s="37">
        <f t="shared" ref="V5:V70" si="4">IFERROR(L5+M5+Q5+R5+S5+T5+U5,"")</f>
        <v>27374000</v>
      </c>
      <c r="W5" s="37">
        <v>27163000</v>
      </c>
      <c r="X5" s="37">
        <f t="shared" ref="X5:X74" si="5">V5-W5</f>
        <v>211000</v>
      </c>
      <c r="Y5" s="43">
        <f>X4+X5</f>
        <v>1515000</v>
      </c>
    </row>
    <row r="6" spans="1:28" x14ac:dyDescent="0.25">
      <c r="A6" s="34">
        <v>5</v>
      </c>
      <c r="B6" s="34" t="s">
        <v>25</v>
      </c>
      <c r="C6" s="34" t="s">
        <v>26</v>
      </c>
      <c r="D6" s="34" t="s">
        <v>27</v>
      </c>
      <c r="E6" s="34">
        <v>911</v>
      </c>
      <c r="F6" s="34" t="s">
        <v>32</v>
      </c>
      <c r="G6" s="34">
        <f>F6*100</f>
        <v>413100</v>
      </c>
      <c r="H6" s="44">
        <f t="shared" si="3"/>
        <v>413</v>
      </c>
      <c r="I6" s="44">
        <f t="shared" si="0"/>
        <v>0</v>
      </c>
      <c r="J6" s="45" t="s">
        <v>33</v>
      </c>
      <c r="K6" s="45"/>
      <c r="L6" s="37"/>
      <c r="M6" s="37"/>
      <c r="N6" s="38"/>
      <c r="O6" s="37">
        <f t="shared" si="1"/>
        <v>0</v>
      </c>
      <c r="P6" s="38"/>
      <c r="Q6" s="37">
        <f t="shared" si="2"/>
        <v>0</v>
      </c>
      <c r="R6" s="38"/>
      <c r="S6" s="37"/>
      <c r="T6" s="38"/>
      <c r="U6" s="38"/>
      <c r="V6" s="37">
        <f t="shared" si="4"/>
        <v>0</v>
      </c>
      <c r="W6" s="37">
        <v>0</v>
      </c>
      <c r="X6" s="37">
        <f t="shared" si="5"/>
        <v>0</v>
      </c>
    </row>
    <row r="7" spans="1:28" x14ac:dyDescent="0.25">
      <c r="A7" s="34">
        <v>5</v>
      </c>
      <c r="B7" s="34" t="s">
        <v>25</v>
      </c>
      <c r="C7" s="34" t="s">
        <v>26</v>
      </c>
      <c r="D7" s="34" t="s">
        <v>27</v>
      </c>
      <c r="E7" s="34">
        <v>911</v>
      </c>
      <c r="F7" s="34" t="s">
        <v>34</v>
      </c>
      <c r="G7" s="34">
        <f t="shared" ref="G7:G61" si="6">F7*100</f>
        <v>414300</v>
      </c>
      <c r="H7" s="44">
        <f t="shared" si="3"/>
        <v>414</v>
      </c>
      <c r="I7" s="44">
        <f t="shared" si="0"/>
        <v>180</v>
      </c>
      <c r="J7" s="45" t="s">
        <v>35</v>
      </c>
      <c r="K7" s="45">
        <v>6</v>
      </c>
      <c r="L7" s="37">
        <v>2950000</v>
      </c>
      <c r="M7" s="37"/>
      <c r="N7" s="38">
        <v>111000</v>
      </c>
      <c r="O7" s="37">
        <f t="shared" si="1"/>
        <v>3061000</v>
      </c>
      <c r="P7" s="38"/>
      <c r="Q7" s="37">
        <f t="shared" si="2"/>
        <v>111000</v>
      </c>
      <c r="R7" s="38"/>
      <c r="S7" s="37"/>
      <c r="T7" s="38"/>
      <c r="U7" s="38"/>
      <c r="V7" s="37">
        <f t="shared" si="4"/>
        <v>3061000</v>
      </c>
      <c r="W7" s="37">
        <v>1000000</v>
      </c>
      <c r="X7" s="37">
        <f t="shared" si="5"/>
        <v>2061000</v>
      </c>
    </row>
    <row r="8" spans="1:28" x14ac:dyDescent="0.25">
      <c r="A8" s="34"/>
      <c r="B8" s="34"/>
      <c r="C8" s="34"/>
      <c r="D8" s="34"/>
      <c r="E8" s="34" t="s">
        <v>36</v>
      </c>
      <c r="F8" s="34" t="s">
        <v>37</v>
      </c>
      <c r="G8" s="34">
        <f t="shared" si="6"/>
        <v>414400</v>
      </c>
      <c r="H8" s="44">
        <f t="shared" si="3"/>
        <v>414</v>
      </c>
      <c r="I8" s="44">
        <f t="shared" si="0"/>
        <v>180</v>
      </c>
      <c r="J8" s="45" t="s">
        <v>38</v>
      </c>
      <c r="K8" s="45"/>
      <c r="L8" s="37">
        <v>3023000</v>
      </c>
      <c r="M8" s="37"/>
      <c r="N8" s="38"/>
      <c r="O8" s="37">
        <f t="shared" si="1"/>
        <v>3023000</v>
      </c>
      <c r="P8" s="38"/>
      <c r="Q8" s="37">
        <f t="shared" si="2"/>
        <v>0</v>
      </c>
      <c r="R8" s="38">
        <v>12000</v>
      </c>
      <c r="S8" s="37"/>
      <c r="T8" s="38"/>
      <c r="U8" s="38"/>
      <c r="V8" s="37">
        <f t="shared" si="4"/>
        <v>3035000</v>
      </c>
      <c r="W8" s="37">
        <v>1389000</v>
      </c>
      <c r="X8" s="37">
        <f t="shared" si="5"/>
        <v>1646000</v>
      </c>
    </row>
    <row r="9" spans="1:28" x14ac:dyDescent="0.25">
      <c r="A9" s="34">
        <v>5</v>
      </c>
      <c r="B9" s="34" t="s">
        <v>25</v>
      </c>
      <c r="C9" s="34" t="s">
        <v>26</v>
      </c>
      <c r="D9" s="34" t="s">
        <v>27</v>
      </c>
      <c r="E9" s="34">
        <v>911</v>
      </c>
      <c r="F9" s="34" t="s">
        <v>39</v>
      </c>
      <c r="G9" s="34">
        <f t="shared" si="6"/>
        <v>415100</v>
      </c>
      <c r="H9" s="35">
        <f t="shared" si="3"/>
        <v>415</v>
      </c>
      <c r="I9" s="35">
        <f t="shared" si="0"/>
        <v>181</v>
      </c>
      <c r="J9" s="41" t="s">
        <v>40</v>
      </c>
      <c r="K9" s="41"/>
      <c r="L9" s="37">
        <v>7000000</v>
      </c>
      <c r="M9" s="37"/>
      <c r="N9" s="38"/>
      <c r="O9" s="37">
        <f t="shared" si="1"/>
        <v>7000000</v>
      </c>
      <c r="P9" s="38"/>
      <c r="Q9" s="37">
        <f t="shared" si="2"/>
        <v>0</v>
      </c>
      <c r="R9" s="38"/>
      <c r="S9" s="37"/>
      <c r="T9" s="115"/>
      <c r="U9" s="38"/>
      <c r="V9" s="37">
        <f t="shared" si="4"/>
        <v>7000000</v>
      </c>
      <c r="W9" s="37">
        <v>7000000</v>
      </c>
      <c r="X9" s="37">
        <f t="shared" si="5"/>
        <v>0</v>
      </c>
    </row>
    <row r="10" spans="1:28" x14ac:dyDescent="0.25">
      <c r="A10" s="34">
        <v>5</v>
      </c>
      <c r="B10" s="34" t="s">
        <v>25</v>
      </c>
      <c r="C10" s="34" t="s">
        <v>26</v>
      </c>
      <c r="D10" s="34" t="s">
        <v>27</v>
      </c>
      <c r="E10" s="34">
        <v>911</v>
      </c>
      <c r="F10" s="34" t="s">
        <v>41</v>
      </c>
      <c r="G10" s="34">
        <f t="shared" si="6"/>
        <v>416100</v>
      </c>
      <c r="H10" s="35">
        <f t="shared" si="3"/>
        <v>416</v>
      </c>
      <c r="I10" s="35">
        <f t="shared" si="0"/>
        <v>182</v>
      </c>
      <c r="J10" s="36" t="s">
        <v>42</v>
      </c>
      <c r="K10" s="36"/>
      <c r="L10" s="37">
        <v>5300000</v>
      </c>
      <c r="M10" s="37"/>
      <c r="N10" s="38">
        <v>500000</v>
      </c>
      <c r="O10" s="37">
        <f t="shared" si="1"/>
        <v>5800000</v>
      </c>
      <c r="P10" s="38"/>
      <c r="Q10" s="37">
        <f t="shared" si="2"/>
        <v>500000</v>
      </c>
      <c r="R10" s="38"/>
      <c r="S10" s="37"/>
      <c r="T10" s="115"/>
      <c r="U10" s="38"/>
      <c r="V10" s="37">
        <f t="shared" si="4"/>
        <v>5800000</v>
      </c>
      <c r="W10" s="37">
        <v>3850000</v>
      </c>
      <c r="X10" s="37">
        <f t="shared" si="5"/>
        <v>1950000</v>
      </c>
    </row>
    <row r="11" spans="1:28" ht="13.9" customHeight="1" x14ac:dyDescent="0.25">
      <c r="A11" s="34">
        <v>5</v>
      </c>
      <c r="B11" s="34" t="s">
        <v>25</v>
      </c>
      <c r="C11" s="34" t="s">
        <v>26</v>
      </c>
      <c r="D11" s="34" t="s">
        <v>27</v>
      </c>
      <c r="E11" s="34">
        <v>911</v>
      </c>
      <c r="F11" s="34" t="s">
        <v>43</v>
      </c>
      <c r="G11" s="34">
        <f t="shared" si="6"/>
        <v>421100</v>
      </c>
      <c r="H11" s="35">
        <f t="shared" si="3"/>
        <v>421</v>
      </c>
      <c r="I11" s="35">
        <f t="shared" si="0"/>
        <v>183</v>
      </c>
      <c r="J11" s="36" t="s">
        <v>44</v>
      </c>
      <c r="K11" s="36"/>
      <c r="L11" s="37">
        <v>150000</v>
      </c>
      <c r="M11" s="37"/>
      <c r="N11" s="38">
        <v>80000</v>
      </c>
      <c r="O11" s="37">
        <f t="shared" si="1"/>
        <v>230000</v>
      </c>
      <c r="P11" s="38">
        <v>120000</v>
      </c>
      <c r="Q11" s="37">
        <f t="shared" si="2"/>
        <v>200000</v>
      </c>
      <c r="R11" s="38"/>
      <c r="S11" s="37"/>
      <c r="T11" s="115"/>
      <c r="U11" s="38"/>
      <c r="V11" s="37">
        <f t="shared" si="4"/>
        <v>350000</v>
      </c>
      <c r="W11" s="37">
        <v>350000</v>
      </c>
      <c r="X11" s="37">
        <f t="shared" si="5"/>
        <v>0</v>
      </c>
    </row>
    <row r="12" spans="1:28" x14ac:dyDescent="0.25">
      <c r="A12" s="34">
        <v>5</v>
      </c>
      <c r="B12" s="34" t="s">
        <v>25</v>
      </c>
      <c r="C12" s="34" t="s">
        <v>26</v>
      </c>
      <c r="D12" s="34" t="s">
        <v>27</v>
      </c>
      <c r="E12" s="34">
        <v>911</v>
      </c>
      <c r="F12" s="34" t="s">
        <v>45</v>
      </c>
      <c r="G12" s="34">
        <f t="shared" si="6"/>
        <v>421200</v>
      </c>
      <c r="H12" s="44">
        <f t="shared" si="3"/>
        <v>421</v>
      </c>
      <c r="I12" s="44">
        <f t="shared" si="0"/>
        <v>183</v>
      </c>
      <c r="J12" s="45" t="s">
        <v>46</v>
      </c>
      <c r="K12" s="45"/>
      <c r="L12" s="37">
        <v>8500000</v>
      </c>
      <c r="M12" s="37"/>
      <c r="N12" s="38">
        <v>1060000</v>
      </c>
      <c r="O12" s="37">
        <f>L12+M12+N12</f>
        <v>9560000</v>
      </c>
      <c r="P12" s="38">
        <v>50000</v>
      </c>
      <c r="Q12" s="37">
        <f t="shared" si="2"/>
        <v>1110000</v>
      </c>
      <c r="R12" s="38"/>
      <c r="S12" s="37"/>
      <c r="T12" s="38"/>
      <c r="U12" s="38">
        <v>506000</v>
      </c>
      <c r="V12" s="37">
        <f>IFERROR(L12+M12+Q12+R12+S12+T12+U12,"")</f>
        <v>10116000</v>
      </c>
      <c r="W12" s="37">
        <v>13513000</v>
      </c>
      <c r="X12" s="37">
        <f t="shared" si="5"/>
        <v>-3397000</v>
      </c>
    </row>
    <row r="13" spans="1:28" x14ac:dyDescent="0.25">
      <c r="A13" s="34">
        <v>5</v>
      </c>
      <c r="B13" s="34" t="s">
        <v>25</v>
      </c>
      <c r="C13" s="34" t="s">
        <v>26</v>
      </c>
      <c r="D13" s="34" t="s">
        <v>27</v>
      </c>
      <c r="E13" s="34">
        <v>911</v>
      </c>
      <c r="F13" s="34" t="s">
        <v>47</v>
      </c>
      <c r="G13" s="34">
        <f t="shared" si="6"/>
        <v>421300</v>
      </c>
      <c r="H13" s="35">
        <f t="shared" si="3"/>
        <v>421</v>
      </c>
      <c r="I13" s="35">
        <f t="shared" si="0"/>
        <v>183</v>
      </c>
      <c r="J13" s="36" t="s">
        <v>48</v>
      </c>
      <c r="K13" s="36"/>
      <c r="L13" s="37">
        <v>1740000</v>
      </c>
      <c r="M13" s="37"/>
      <c r="N13" s="38">
        <v>1050000</v>
      </c>
      <c r="O13" s="37">
        <f t="shared" si="1"/>
        <v>2790000</v>
      </c>
      <c r="P13" s="38">
        <v>50000</v>
      </c>
      <c r="Q13" s="37">
        <f t="shared" si="2"/>
        <v>1100000</v>
      </c>
      <c r="R13" s="38"/>
      <c r="S13" s="37"/>
      <c r="T13" s="115"/>
      <c r="U13" s="38"/>
      <c r="V13" s="37">
        <f t="shared" si="4"/>
        <v>2840000</v>
      </c>
      <c r="W13" s="37">
        <v>3505000</v>
      </c>
      <c r="X13" s="37">
        <f t="shared" si="5"/>
        <v>-665000</v>
      </c>
    </row>
    <row r="14" spans="1:28" x14ac:dyDescent="0.25">
      <c r="A14" s="34">
        <v>5</v>
      </c>
      <c r="B14" s="34" t="s">
        <v>25</v>
      </c>
      <c r="C14" s="34" t="s">
        <v>26</v>
      </c>
      <c r="D14" s="34" t="s">
        <v>27</v>
      </c>
      <c r="E14" s="34">
        <v>911</v>
      </c>
      <c r="F14" s="34" t="s">
        <v>49</v>
      </c>
      <c r="G14" s="34">
        <f t="shared" si="6"/>
        <v>421400</v>
      </c>
      <c r="H14" s="35">
        <f t="shared" si="3"/>
        <v>421</v>
      </c>
      <c r="I14" s="35">
        <f t="shared" si="0"/>
        <v>183</v>
      </c>
      <c r="J14" s="36" t="s">
        <v>50</v>
      </c>
      <c r="K14" s="36"/>
      <c r="L14" s="37">
        <v>695000</v>
      </c>
      <c r="M14" s="37"/>
      <c r="N14" s="38">
        <v>700000</v>
      </c>
      <c r="O14" s="37">
        <f t="shared" si="1"/>
        <v>1395000</v>
      </c>
      <c r="P14" s="38">
        <v>55000</v>
      </c>
      <c r="Q14" s="37">
        <f t="shared" si="2"/>
        <v>755000</v>
      </c>
      <c r="R14" s="38"/>
      <c r="S14" s="37"/>
      <c r="T14" s="115"/>
      <c r="U14" s="38"/>
      <c r="V14" s="37">
        <f t="shared" si="4"/>
        <v>1450000</v>
      </c>
      <c r="W14" s="37">
        <v>1640000</v>
      </c>
      <c r="X14" s="37">
        <f t="shared" si="5"/>
        <v>-190000</v>
      </c>
    </row>
    <row r="15" spans="1:28" x14ac:dyDescent="0.25">
      <c r="A15" s="34">
        <v>5</v>
      </c>
      <c r="B15" s="34" t="s">
        <v>25</v>
      </c>
      <c r="C15" s="34" t="s">
        <v>26</v>
      </c>
      <c r="D15" s="34" t="s">
        <v>27</v>
      </c>
      <c r="E15" s="34">
        <v>911</v>
      </c>
      <c r="F15" s="34" t="s">
        <v>51</v>
      </c>
      <c r="G15" s="34">
        <f t="shared" si="6"/>
        <v>421500</v>
      </c>
      <c r="H15" s="35">
        <f t="shared" si="3"/>
        <v>421</v>
      </c>
      <c r="I15" s="35">
        <f t="shared" si="0"/>
        <v>183</v>
      </c>
      <c r="J15" s="41" t="s">
        <v>52</v>
      </c>
      <c r="K15" s="41"/>
      <c r="L15" s="37">
        <v>90000</v>
      </c>
      <c r="M15" s="37"/>
      <c r="N15" s="38">
        <v>130000</v>
      </c>
      <c r="O15" s="37">
        <f t="shared" si="1"/>
        <v>220000</v>
      </c>
      <c r="P15" s="38">
        <v>50000</v>
      </c>
      <c r="Q15" s="37">
        <f t="shared" si="2"/>
        <v>180000</v>
      </c>
      <c r="R15" s="38"/>
      <c r="S15" s="37">
        <v>300000</v>
      </c>
      <c r="T15" s="115"/>
      <c r="U15" s="38"/>
      <c r="V15" s="37">
        <f t="shared" si="4"/>
        <v>570000</v>
      </c>
      <c r="W15" s="37">
        <v>620000</v>
      </c>
      <c r="X15" s="37">
        <f t="shared" si="5"/>
        <v>-50000</v>
      </c>
    </row>
    <row r="16" spans="1:28" x14ac:dyDescent="0.25">
      <c r="A16" s="34">
        <v>5</v>
      </c>
      <c r="B16" s="34" t="s">
        <v>25</v>
      </c>
      <c r="C16" s="34" t="s">
        <v>26</v>
      </c>
      <c r="D16" s="34" t="s">
        <v>27</v>
      </c>
      <c r="E16" s="34">
        <v>911</v>
      </c>
      <c r="F16" s="34" t="s">
        <v>53</v>
      </c>
      <c r="G16" s="34">
        <f t="shared" si="6"/>
        <v>422100</v>
      </c>
      <c r="H16" s="35">
        <f t="shared" si="3"/>
        <v>422</v>
      </c>
      <c r="I16" s="35">
        <f t="shared" si="0"/>
        <v>184</v>
      </c>
      <c r="J16" s="41" t="s">
        <v>54</v>
      </c>
      <c r="K16" s="41"/>
      <c r="L16" s="37">
        <v>150000</v>
      </c>
      <c r="M16" s="37"/>
      <c r="N16" s="38">
        <v>650000</v>
      </c>
      <c r="O16" s="37">
        <f t="shared" si="1"/>
        <v>800000</v>
      </c>
      <c r="P16" s="38">
        <v>200000</v>
      </c>
      <c r="Q16" s="37">
        <f t="shared" si="2"/>
        <v>850000</v>
      </c>
      <c r="R16" s="38"/>
      <c r="S16" s="37">
        <v>200000</v>
      </c>
      <c r="T16" s="115"/>
      <c r="U16" s="38"/>
      <c r="V16" s="37">
        <f t="shared" si="4"/>
        <v>1200000</v>
      </c>
      <c r="W16" s="37">
        <v>1000000</v>
      </c>
      <c r="X16" s="37">
        <f t="shared" si="5"/>
        <v>200000</v>
      </c>
    </row>
    <row r="17" spans="1:24" x14ac:dyDescent="0.25">
      <c r="A17" s="34">
        <v>5</v>
      </c>
      <c r="B17" s="34" t="s">
        <v>25</v>
      </c>
      <c r="C17" s="34" t="s">
        <v>26</v>
      </c>
      <c r="D17" s="34" t="s">
        <v>27</v>
      </c>
      <c r="E17" s="34">
        <v>911</v>
      </c>
      <c r="F17" s="34" t="s">
        <v>55</v>
      </c>
      <c r="G17" s="34">
        <f t="shared" si="6"/>
        <v>422300</v>
      </c>
      <c r="H17" s="35">
        <f t="shared" si="3"/>
        <v>422</v>
      </c>
      <c r="I17" s="35">
        <f t="shared" si="0"/>
        <v>184</v>
      </c>
      <c r="J17" s="41" t="s">
        <v>56</v>
      </c>
      <c r="K17" s="41"/>
      <c r="L17" s="37">
        <v>30000</v>
      </c>
      <c r="M17" s="37"/>
      <c r="N17" s="38">
        <v>70000</v>
      </c>
      <c r="O17" s="37">
        <f t="shared" si="1"/>
        <v>100000</v>
      </c>
      <c r="P17" s="38">
        <v>70000</v>
      </c>
      <c r="Q17" s="37">
        <f t="shared" si="2"/>
        <v>140000</v>
      </c>
      <c r="R17" s="38"/>
      <c r="S17" s="37"/>
      <c r="T17" s="115"/>
      <c r="U17" s="38"/>
      <c r="V17" s="37">
        <f t="shared" si="4"/>
        <v>170000</v>
      </c>
      <c r="W17" s="37">
        <v>170000</v>
      </c>
      <c r="X17" s="37">
        <f t="shared" si="5"/>
        <v>0</v>
      </c>
    </row>
    <row r="18" spans="1:24" x14ac:dyDescent="0.25">
      <c r="A18" s="34">
        <v>5</v>
      </c>
      <c r="B18" s="34" t="s">
        <v>25</v>
      </c>
      <c r="C18" s="34" t="s">
        <v>26</v>
      </c>
      <c r="D18" s="34" t="s">
        <v>27</v>
      </c>
      <c r="E18" s="34">
        <v>911</v>
      </c>
      <c r="F18" s="34" t="s">
        <v>57</v>
      </c>
      <c r="G18" s="34">
        <f t="shared" si="6"/>
        <v>423200</v>
      </c>
      <c r="H18" s="35">
        <f t="shared" si="3"/>
        <v>423</v>
      </c>
      <c r="I18" s="35">
        <f t="shared" si="0"/>
        <v>185</v>
      </c>
      <c r="J18" s="41" t="s">
        <v>58</v>
      </c>
      <c r="K18" s="41"/>
      <c r="L18" s="37">
        <v>468000</v>
      </c>
      <c r="M18" s="37"/>
      <c r="N18" s="38">
        <v>115000</v>
      </c>
      <c r="O18" s="37">
        <f t="shared" si="1"/>
        <v>583000</v>
      </c>
      <c r="P18" s="38">
        <v>55000</v>
      </c>
      <c r="Q18" s="37">
        <f t="shared" si="2"/>
        <v>170000</v>
      </c>
      <c r="R18" s="38"/>
      <c r="S18" s="37"/>
      <c r="T18" s="115"/>
      <c r="U18" s="38"/>
      <c r="V18" s="37">
        <f t="shared" si="4"/>
        <v>638000</v>
      </c>
      <c r="W18" s="37">
        <v>404000</v>
      </c>
      <c r="X18" s="37">
        <f t="shared" si="5"/>
        <v>234000</v>
      </c>
    </row>
    <row r="19" spans="1:24" x14ac:dyDescent="0.25">
      <c r="A19" s="34">
        <v>5</v>
      </c>
      <c r="B19" s="34" t="s">
        <v>25</v>
      </c>
      <c r="C19" s="34" t="s">
        <v>26</v>
      </c>
      <c r="D19" s="34" t="s">
        <v>27</v>
      </c>
      <c r="E19" s="34">
        <v>911</v>
      </c>
      <c r="F19" s="34" t="s">
        <v>59</v>
      </c>
      <c r="G19" s="34">
        <f t="shared" si="6"/>
        <v>423300</v>
      </c>
      <c r="H19" s="35">
        <f t="shared" si="3"/>
        <v>423</v>
      </c>
      <c r="I19" s="35">
        <f t="shared" si="0"/>
        <v>185</v>
      </c>
      <c r="J19" s="36" t="s">
        <v>60</v>
      </c>
      <c r="K19" s="36"/>
      <c r="L19" s="37">
        <v>100000</v>
      </c>
      <c r="M19" s="37"/>
      <c r="N19" s="38">
        <v>150000</v>
      </c>
      <c r="O19" s="37">
        <f t="shared" si="1"/>
        <v>250000</v>
      </c>
      <c r="P19" s="38">
        <v>50000</v>
      </c>
      <c r="Q19" s="37">
        <f t="shared" si="2"/>
        <v>200000</v>
      </c>
      <c r="R19" s="38"/>
      <c r="S19" s="37"/>
      <c r="T19" s="115"/>
      <c r="U19" s="38"/>
      <c r="V19" s="37">
        <f t="shared" si="4"/>
        <v>300000</v>
      </c>
      <c r="W19" s="37">
        <v>300000</v>
      </c>
      <c r="X19" s="37">
        <f t="shared" si="5"/>
        <v>0</v>
      </c>
    </row>
    <row r="20" spans="1:24" x14ac:dyDescent="0.25">
      <c r="A20" s="34">
        <v>5</v>
      </c>
      <c r="B20" s="34" t="s">
        <v>25</v>
      </c>
      <c r="C20" s="34" t="s">
        <v>26</v>
      </c>
      <c r="D20" s="34" t="s">
        <v>27</v>
      </c>
      <c r="E20" s="34">
        <v>911</v>
      </c>
      <c r="F20" s="34" t="s">
        <v>61</v>
      </c>
      <c r="G20" s="34">
        <f t="shared" si="6"/>
        <v>423400</v>
      </c>
      <c r="H20" s="35">
        <f t="shared" si="3"/>
        <v>423</v>
      </c>
      <c r="I20" s="35">
        <f t="shared" si="0"/>
        <v>185</v>
      </c>
      <c r="J20" s="36" t="s">
        <v>62</v>
      </c>
      <c r="K20" s="36"/>
      <c r="L20" s="37">
        <v>20000</v>
      </c>
      <c r="M20" s="37"/>
      <c r="N20" s="38">
        <v>40000</v>
      </c>
      <c r="O20" s="37">
        <f t="shared" si="1"/>
        <v>60000</v>
      </c>
      <c r="P20" s="38">
        <v>70000</v>
      </c>
      <c r="Q20" s="37">
        <f t="shared" si="2"/>
        <v>110000</v>
      </c>
      <c r="R20" s="38"/>
      <c r="S20" s="37"/>
      <c r="T20" s="115"/>
      <c r="U20" s="38"/>
      <c r="V20" s="37">
        <f t="shared" si="4"/>
        <v>130000</v>
      </c>
      <c r="W20" s="37">
        <v>143000</v>
      </c>
      <c r="X20" s="37">
        <f t="shared" si="5"/>
        <v>-13000</v>
      </c>
    </row>
    <row r="21" spans="1:24" x14ac:dyDescent="0.25">
      <c r="A21" s="34">
        <v>5</v>
      </c>
      <c r="B21" s="34" t="s">
        <v>25</v>
      </c>
      <c r="C21" s="34" t="s">
        <v>26</v>
      </c>
      <c r="D21" s="34" t="s">
        <v>27</v>
      </c>
      <c r="E21" s="34">
        <v>911</v>
      </c>
      <c r="F21" s="34" t="s">
        <v>63</v>
      </c>
      <c r="G21" s="34">
        <f t="shared" si="6"/>
        <v>423600</v>
      </c>
      <c r="H21" s="35">
        <f t="shared" si="3"/>
        <v>423</v>
      </c>
      <c r="I21" s="35">
        <f t="shared" si="0"/>
        <v>185</v>
      </c>
      <c r="J21" s="36" t="s">
        <v>64</v>
      </c>
      <c r="K21" s="36"/>
      <c r="L21" s="37">
        <v>100000</v>
      </c>
      <c r="M21" s="37"/>
      <c r="N21" s="38">
        <v>60000</v>
      </c>
      <c r="O21" s="37">
        <f t="shared" si="1"/>
        <v>160000</v>
      </c>
      <c r="P21" s="38">
        <v>40000</v>
      </c>
      <c r="Q21" s="37">
        <f t="shared" si="2"/>
        <v>100000</v>
      </c>
      <c r="R21" s="38"/>
      <c r="S21" s="37"/>
      <c r="T21" s="115"/>
      <c r="U21" s="38"/>
      <c r="V21" s="37">
        <f t="shared" si="4"/>
        <v>200000</v>
      </c>
      <c r="W21" s="37">
        <v>400000</v>
      </c>
      <c r="X21" s="37">
        <f t="shared" si="5"/>
        <v>-200000</v>
      </c>
    </row>
    <row r="22" spans="1:24" x14ac:dyDescent="0.25">
      <c r="A22" s="34"/>
      <c r="B22" s="34"/>
      <c r="C22" s="34"/>
      <c r="D22" s="34"/>
      <c r="E22" s="34"/>
      <c r="F22" s="34" t="s">
        <v>65</v>
      </c>
      <c r="G22" s="34">
        <f t="shared" si="6"/>
        <v>423500</v>
      </c>
      <c r="H22" s="35">
        <f t="shared" si="3"/>
        <v>423</v>
      </c>
      <c r="I22" s="35">
        <f t="shared" si="0"/>
        <v>185</v>
      </c>
      <c r="J22" s="36" t="s">
        <v>66</v>
      </c>
      <c r="K22" s="36"/>
      <c r="L22" s="37">
        <v>320000</v>
      </c>
      <c r="M22" s="37"/>
      <c r="N22" s="38"/>
      <c r="O22" s="37">
        <f t="shared" si="1"/>
        <v>320000</v>
      </c>
      <c r="P22" s="38"/>
      <c r="Q22" s="37">
        <f t="shared" si="2"/>
        <v>0</v>
      </c>
      <c r="R22" s="38"/>
      <c r="S22" s="37"/>
      <c r="T22" s="115"/>
      <c r="U22" s="38"/>
      <c r="V22" s="37">
        <f t="shared" si="4"/>
        <v>320000</v>
      </c>
      <c r="W22" s="37">
        <v>180000</v>
      </c>
      <c r="X22" s="37">
        <f t="shared" si="5"/>
        <v>140000</v>
      </c>
    </row>
    <row r="23" spans="1:24" x14ac:dyDescent="0.25">
      <c r="A23" s="34"/>
      <c r="B23" s="34"/>
      <c r="C23" s="34"/>
      <c r="D23" s="34"/>
      <c r="E23" s="34"/>
      <c r="F23" s="34" t="s">
        <v>67</v>
      </c>
      <c r="G23" s="34">
        <f t="shared" si="6"/>
        <v>423700</v>
      </c>
      <c r="H23" s="35">
        <f t="shared" si="3"/>
        <v>423</v>
      </c>
      <c r="I23" s="35">
        <f t="shared" si="0"/>
        <v>185</v>
      </c>
      <c r="J23" s="36" t="s">
        <v>68</v>
      </c>
      <c r="K23" s="36"/>
      <c r="L23" s="37"/>
      <c r="M23" s="37"/>
      <c r="N23" s="38">
        <v>10000</v>
      </c>
      <c r="O23" s="37">
        <f t="shared" si="1"/>
        <v>10000</v>
      </c>
      <c r="P23" s="38">
        <v>30000</v>
      </c>
      <c r="Q23" s="37">
        <f t="shared" si="2"/>
        <v>40000</v>
      </c>
      <c r="R23" s="38"/>
      <c r="S23" s="37"/>
      <c r="T23" s="115"/>
      <c r="U23" s="38"/>
      <c r="V23" s="37">
        <f t="shared" si="4"/>
        <v>40000</v>
      </c>
      <c r="W23" s="37">
        <v>40000</v>
      </c>
      <c r="X23" s="37">
        <f t="shared" si="5"/>
        <v>0</v>
      </c>
    </row>
    <row r="24" spans="1:24" x14ac:dyDescent="0.25">
      <c r="A24" s="34">
        <v>5</v>
      </c>
      <c r="B24" s="34" t="s">
        <v>25</v>
      </c>
      <c r="C24" s="34" t="s">
        <v>26</v>
      </c>
      <c r="D24" s="34" t="s">
        <v>27</v>
      </c>
      <c r="E24" s="34">
        <v>911</v>
      </c>
      <c r="F24" s="34" t="s">
        <v>69</v>
      </c>
      <c r="G24" s="34">
        <f t="shared" si="6"/>
        <v>423900</v>
      </c>
      <c r="H24" s="35">
        <f t="shared" si="3"/>
        <v>423</v>
      </c>
      <c r="I24" s="35">
        <f t="shared" si="0"/>
        <v>185</v>
      </c>
      <c r="J24" s="36" t="s">
        <v>70</v>
      </c>
      <c r="K24" s="36"/>
      <c r="L24" s="37">
        <v>5260000</v>
      </c>
      <c r="M24" s="37"/>
      <c r="N24" s="38">
        <v>1250000</v>
      </c>
      <c r="O24" s="37">
        <f t="shared" si="1"/>
        <v>6510000</v>
      </c>
      <c r="P24" s="38">
        <v>210000</v>
      </c>
      <c r="Q24" s="37">
        <f t="shared" si="2"/>
        <v>1460000</v>
      </c>
      <c r="R24" s="38"/>
      <c r="S24" s="37">
        <v>1115000</v>
      </c>
      <c r="T24" s="115"/>
      <c r="U24" s="38"/>
      <c r="V24" s="37">
        <f t="shared" si="4"/>
        <v>7835000</v>
      </c>
      <c r="W24" s="37">
        <v>6889000</v>
      </c>
      <c r="X24" s="37">
        <f t="shared" si="5"/>
        <v>946000</v>
      </c>
    </row>
    <row r="25" spans="1:24" ht="13.9" customHeight="1" x14ac:dyDescent="0.25">
      <c r="A25" s="34"/>
      <c r="B25" s="34"/>
      <c r="C25" s="34"/>
      <c r="D25" s="34"/>
      <c r="E25" s="34"/>
      <c r="F25" s="34" t="s">
        <v>71</v>
      </c>
      <c r="G25" s="34">
        <f t="shared" si="6"/>
        <v>424200</v>
      </c>
      <c r="H25" s="35">
        <f t="shared" si="3"/>
        <v>424</v>
      </c>
      <c r="I25" s="35">
        <f t="shared" si="0"/>
        <v>186</v>
      </c>
      <c r="J25" s="36" t="s">
        <v>72</v>
      </c>
      <c r="K25" s="36"/>
      <c r="L25" s="37">
        <v>300000</v>
      </c>
      <c r="M25" s="37"/>
      <c r="N25" s="38">
        <v>100000</v>
      </c>
      <c r="O25" s="37">
        <f t="shared" si="1"/>
        <v>400000</v>
      </c>
      <c r="P25" s="38"/>
      <c r="Q25" s="37">
        <f t="shared" si="2"/>
        <v>100000</v>
      </c>
      <c r="R25" s="38"/>
      <c r="S25" s="37"/>
      <c r="T25" s="115"/>
      <c r="U25" s="38"/>
      <c r="V25" s="37">
        <f t="shared" si="4"/>
        <v>400000</v>
      </c>
      <c r="W25" s="37">
        <v>400000</v>
      </c>
      <c r="X25" s="37">
        <f t="shared" si="5"/>
        <v>0</v>
      </c>
    </row>
    <row r="26" spans="1:24" x14ac:dyDescent="0.25">
      <c r="A26" s="34"/>
      <c r="B26" s="34"/>
      <c r="C26" s="34"/>
      <c r="D26" s="34"/>
      <c r="E26" s="34"/>
      <c r="F26" s="34" t="s">
        <v>73</v>
      </c>
      <c r="G26" s="34">
        <f t="shared" si="6"/>
        <v>424900</v>
      </c>
      <c r="H26" s="35">
        <f t="shared" si="3"/>
        <v>424</v>
      </c>
      <c r="I26" s="35">
        <f t="shared" si="0"/>
        <v>186</v>
      </c>
      <c r="J26" s="36" t="s">
        <v>74</v>
      </c>
      <c r="K26" s="36"/>
      <c r="L26" s="37">
        <v>380000</v>
      </c>
      <c r="M26" s="37"/>
      <c r="N26" s="38">
        <v>100000</v>
      </c>
      <c r="O26" s="37">
        <f t="shared" si="1"/>
        <v>480000</v>
      </c>
      <c r="P26" s="38">
        <v>20000</v>
      </c>
      <c r="Q26" s="37">
        <f t="shared" si="2"/>
        <v>120000</v>
      </c>
      <c r="R26" s="38"/>
      <c r="S26" s="37"/>
      <c r="T26" s="115"/>
      <c r="U26" s="38"/>
      <c r="V26" s="37">
        <f t="shared" si="4"/>
        <v>500000</v>
      </c>
      <c r="W26" s="37">
        <v>429000</v>
      </c>
      <c r="X26" s="37">
        <f t="shared" si="5"/>
        <v>71000</v>
      </c>
    </row>
    <row r="27" spans="1:24" s="51" customFormat="1" x14ac:dyDescent="0.25">
      <c r="A27" s="46"/>
      <c r="B27" s="46"/>
      <c r="C27" s="46"/>
      <c r="D27" s="46"/>
      <c r="E27" s="46"/>
      <c r="F27" s="46">
        <v>425111</v>
      </c>
      <c r="G27" s="46">
        <f>IF(ISBLANK(F27)=TRUE,"",+VALUE(LEFT(F27,4)))*100</f>
        <v>425100</v>
      </c>
      <c r="H27" s="47">
        <f t="shared" si="3"/>
        <v>425</v>
      </c>
      <c r="I27" s="47">
        <f t="shared" si="0"/>
        <v>187</v>
      </c>
      <c r="J27" s="48" t="s">
        <v>75</v>
      </c>
      <c r="K27" s="48"/>
      <c r="L27" s="49">
        <v>600000</v>
      </c>
      <c r="M27" s="50"/>
      <c r="N27" s="49"/>
      <c r="O27" s="37">
        <f t="shared" si="1"/>
        <v>600000</v>
      </c>
      <c r="P27" s="49"/>
      <c r="Q27" s="50">
        <f t="shared" si="2"/>
        <v>0</v>
      </c>
      <c r="R27" s="49"/>
      <c r="S27" s="50"/>
      <c r="T27" s="116"/>
      <c r="U27" s="49"/>
      <c r="V27" s="37">
        <f t="shared" si="4"/>
        <v>600000</v>
      </c>
      <c r="W27" s="50">
        <v>0</v>
      </c>
      <c r="X27" s="50">
        <f t="shared" si="5"/>
        <v>600000</v>
      </c>
    </row>
    <row r="28" spans="1:24" s="51" customFormat="1" x14ac:dyDescent="0.25">
      <c r="A28" s="46"/>
      <c r="B28" s="46"/>
      <c r="C28" s="46"/>
      <c r="D28" s="46"/>
      <c r="E28" s="46"/>
      <c r="F28" s="46" t="s">
        <v>76</v>
      </c>
      <c r="G28" s="46">
        <f t="shared" ref="G28:G43" si="7">IF(ISBLANK(F28)=TRUE,"",+VALUE(LEFT(F28,4)))*100</f>
        <v>425100</v>
      </c>
      <c r="H28" s="47">
        <f t="shared" si="3"/>
        <v>425</v>
      </c>
      <c r="I28" s="47">
        <f t="shared" si="0"/>
        <v>187</v>
      </c>
      <c r="J28" s="48" t="s">
        <v>77</v>
      </c>
      <c r="K28" s="48"/>
      <c r="L28" s="49">
        <v>70000</v>
      </c>
      <c r="M28" s="50"/>
      <c r="N28" s="49"/>
      <c r="O28" s="37">
        <f t="shared" si="1"/>
        <v>70000</v>
      </c>
      <c r="P28" s="49"/>
      <c r="Q28" s="50">
        <f t="shared" si="2"/>
        <v>0</v>
      </c>
      <c r="R28" s="49"/>
      <c r="S28" s="50"/>
      <c r="T28" s="116"/>
      <c r="U28" s="49"/>
      <c r="V28" s="37">
        <f t="shared" si="4"/>
        <v>70000</v>
      </c>
      <c r="W28" s="50">
        <v>150000</v>
      </c>
      <c r="X28" s="50">
        <f t="shared" si="5"/>
        <v>-80000</v>
      </c>
    </row>
    <row r="29" spans="1:24" s="51" customFormat="1" x14ac:dyDescent="0.25">
      <c r="A29" s="46"/>
      <c r="B29" s="46"/>
      <c r="C29" s="46"/>
      <c r="D29" s="46"/>
      <c r="E29" s="46"/>
      <c r="F29" s="46">
        <v>425113</v>
      </c>
      <c r="G29" s="46">
        <f t="shared" si="7"/>
        <v>425100</v>
      </c>
      <c r="H29" s="47">
        <f t="shared" si="3"/>
        <v>425</v>
      </c>
      <c r="I29" s="47">
        <f t="shared" si="0"/>
        <v>187</v>
      </c>
      <c r="J29" s="48" t="s">
        <v>78</v>
      </c>
      <c r="K29" s="48"/>
      <c r="L29" s="49">
        <v>3000000</v>
      </c>
      <c r="M29" s="50"/>
      <c r="N29" s="49"/>
      <c r="O29" s="37">
        <f t="shared" si="1"/>
        <v>3000000</v>
      </c>
      <c r="P29" s="49"/>
      <c r="Q29" s="50">
        <f t="shared" si="2"/>
        <v>0</v>
      </c>
      <c r="R29" s="49"/>
      <c r="S29" s="50"/>
      <c r="T29" s="116"/>
      <c r="U29" s="49"/>
      <c r="V29" s="37">
        <f t="shared" si="4"/>
        <v>3000000</v>
      </c>
      <c r="W29" s="50">
        <v>1550000</v>
      </c>
      <c r="X29" s="50">
        <f t="shared" si="5"/>
        <v>1450000</v>
      </c>
    </row>
    <row r="30" spans="1:24" s="51" customFormat="1" x14ac:dyDescent="0.25">
      <c r="A30" s="46"/>
      <c r="B30" s="46"/>
      <c r="C30" s="46"/>
      <c r="D30" s="46"/>
      <c r="E30" s="46"/>
      <c r="F30" s="46">
        <v>425114</v>
      </c>
      <c r="G30" s="46">
        <f t="shared" si="7"/>
        <v>425100</v>
      </c>
      <c r="H30" s="47">
        <f t="shared" si="3"/>
        <v>425</v>
      </c>
      <c r="I30" s="47">
        <f t="shared" si="0"/>
        <v>187</v>
      </c>
      <c r="J30" s="48" t="s">
        <v>79</v>
      </c>
      <c r="K30" s="48"/>
      <c r="L30" s="49">
        <v>1040000</v>
      </c>
      <c r="M30" s="50"/>
      <c r="N30" s="49"/>
      <c r="O30" s="37">
        <f t="shared" si="1"/>
        <v>1040000</v>
      </c>
      <c r="P30" s="49"/>
      <c r="Q30" s="50">
        <f t="shared" si="2"/>
        <v>0</v>
      </c>
      <c r="R30" s="49"/>
      <c r="S30" s="50"/>
      <c r="T30" s="116"/>
      <c r="U30" s="49"/>
      <c r="V30" s="37">
        <f t="shared" si="4"/>
        <v>1040000</v>
      </c>
      <c r="W30" s="50">
        <v>1200000</v>
      </c>
      <c r="X30" s="50">
        <f t="shared" si="5"/>
        <v>-160000</v>
      </c>
    </row>
    <row r="31" spans="1:24" s="51" customFormat="1" x14ac:dyDescent="0.25">
      <c r="A31" s="46"/>
      <c r="B31" s="46"/>
      <c r="C31" s="46"/>
      <c r="D31" s="46"/>
      <c r="E31" s="46"/>
      <c r="F31" s="46">
        <v>425115</v>
      </c>
      <c r="G31" s="46">
        <f t="shared" si="7"/>
        <v>425100</v>
      </c>
      <c r="H31" s="47">
        <f t="shared" si="3"/>
        <v>425</v>
      </c>
      <c r="I31" s="47">
        <f t="shared" si="0"/>
        <v>187</v>
      </c>
      <c r="J31" s="48" t="s">
        <v>80</v>
      </c>
      <c r="K31" s="48"/>
      <c r="L31" s="49">
        <v>150000</v>
      </c>
      <c r="M31" s="50"/>
      <c r="N31" s="49"/>
      <c r="O31" s="37">
        <f t="shared" si="1"/>
        <v>150000</v>
      </c>
      <c r="P31" s="49"/>
      <c r="Q31" s="50">
        <f t="shared" si="2"/>
        <v>0</v>
      </c>
      <c r="R31" s="49"/>
      <c r="S31" s="50"/>
      <c r="T31" s="116"/>
      <c r="U31" s="49"/>
      <c r="V31" s="37">
        <f t="shared" si="4"/>
        <v>150000</v>
      </c>
      <c r="W31" s="50">
        <v>150000</v>
      </c>
      <c r="X31" s="50">
        <f t="shared" si="5"/>
        <v>0</v>
      </c>
    </row>
    <row r="32" spans="1:24" s="51" customFormat="1" x14ac:dyDescent="0.25">
      <c r="A32" s="46"/>
      <c r="B32" s="46"/>
      <c r="C32" s="46"/>
      <c r="D32" s="46"/>
      <c r="E32" s="46"/>
      <c r="F32" s="46">
        <v>425116</v>
      </c>
      <c r="G32" s="46">
        <f t="shared" si="7"/>
        <v>425100</v>
      </c>
      <c r="H32" s="47">
        <f t="shared" si="3"/>
        <v>425</v>
      </c>
      <c r="I32" s="47">
        <f t="shared" si="0"/>
        <v>187</v>
      </c>
      <c r="J32" s="48" t="s">
        <v>81</v>
      </c>
      <c r="K32" s="48"/>
      <c r="L32" s="49">
        <v>420000</v>
      </c>
      <c r="M32" s="50"/>
      <c r="N32" s="49"/>
      <c r="O32" s="37">
        <f t="shared" si="1"/>
        <v>420000</v>
      </c>
      <c r="P32" s="49"/>
      <c r="Q32" s="50">
        <f t="shared" si="2"/>
        <v>0</v>
      </c>
      <c r="R32" s="49"/>
      <c r="S32" s="50"/>
      <c r="T32" s="116"/>
      <c r="U32" s="49"/>
      <c r="V32" s="37">
        <f t="shared" si="4"/>
        <v>420000</v>
      </c>
      <c r="W32" s="50">
        <v>250000</v>
      </c>
      <c r="X32" s="50">
        <f t="shared" si="5"/>
        <v>170000</v>
      </c>
    </row>
    <row r="33" spans="1:25" s="51" customFormat="1" x14ac:dyDescent="0.25">
      <c r="A33" s="46"/>
      <c r="B33" s="46"/>
      <c r="C33" s="46"/>
      <c r="D33" s="46"/>
      <c r="E33" s="46"/>
      <c r="F33" s="46">
        <v>425117</v>
      </c>
      <c r="G33" s="46">
        <f t="shared" si="7"/>
        <v>425100</v>
      </c>
      <c r="H33" s="47">
        <f t="shared" si="3"/>
        <v>425</v>
      </c>
      <c r="I33" s="47">
        <f t="shared" si="0"/>
        <v>187</v>
      </c>
      <c r="J33" s="48" t="s">
        <v>82</v>
      </c>
      <c r="K33" s="48"/>
      <c r="L33" s="49">
        <v>200000</v>
      </c>
      <c r="M33" s="50"/>
      <c r="N33" s="49"/>
      <c r="O33" s="37">
        <f t="shared" si="1"/>
        <v>200000</v>
      </c>
      <c r="P33" s="49"/>
      <c r="Q33" s="50">
        <f t="shared" si="2"/>
        <v>0</v>
      </c>
      <c r="R33" s="49"/>
      <c r="S33" s="50"/>
      <c r="T33" s="116"/>
      <c r="U33" s="49"/>
      <c r="V33" s="37">
        <f t="shared" si="4"/>
        <v>200000</v>
      </c>
      <c r="W33" s="50">
        <v>200000</v>
      </c>
      <c r="X33" s="50">
        <f t="shared" si="5"/>
        <v>0</v>
      </c>
      <c r="Y33" s="52">
        <f>SUM(X27:X33)</f>
        <v>1980000</v>
      </c>
    </row>
    <row r="34" spans="1:25" s="51" customFormat="1" x14ac:dyDescent="0.25">
      <c r="A34" s="46"/>
      <c r="B34" s="46"/>
      <c r="C34" s="46"/>
      <c r="D34" s="46"/>
      <c r="E34" s="46"/>
      <c r="F34" s="46" t="s">
        <v>83</v>
      </c>
      <c r="G34" s="46" t="s">
        <v>83</v>
      </c>
      <c r="H34" s="47">
        <f t="shared" si="3"/>
        <v>425</v>
      </c>
      <c r="I34" s="47">
        <f t="shared" si="0"/>
        <v>187</v>
      </c>
      <c r="J34" s="48"/>
      <c r="K34" s="48"/>
      <c r="L34" s="49"/>
      <c r="M34" s="50"/>
      <c r="N34" s="49"/>
      <c r="O34" s="37">
        <f t="shared" si="1"/>
        <v>0</v>
      </c>
      <c r="P34" s="49"/>
      <c r="Q34" s="50">
        <f t="shared" si="2"/>
        <v>0</v>
      </c>
      <c r="R34" s="49"/>
      <c r="S34" s="50"/>
      <c r="T34" s="116"/>
      <c r="U34" s="49"/>
      <c r="V34" s="37">
        <f t="shared" si="4"/>
        <v>0</v>
      </c>
      <c r="W34" s="50">
        <v>0</v>
      </c>
      <c r="X34" s="50">
        <f t="shared" si="5"/>
        <v>0</v>
      </c>
      <c r="Y34" s="52"/>
    </row>
    <row r="35" spans="1:25" s="51" customFormat="1" x14ac:dyDescent="0.25">
      <c r="A35" s="46"/>
      <c r="B35" s="46"/>
      <c r="C35" s="46"/>
      <c r="D35" s="46"/>
      <c r="E35" s="46"/>
      <c r="F35" s="46" t="s">
        <v>83</v>
      </c>
      <c r="G35" s="46" t="s">
        <v>83</v>
      </c>
      <c r="H35" s="47">
        <f t="shared" si="3"/>
        <v>425</v>
      </c>
      <c r="I35" s="47">
        <f t="shared" si="0"/>
        <v>187</v>
      </c>
      <c r="J35" s="48"/>
      <c r="K35" s="48"/>
      <c r="L35" s="49"/>
      <c r="M35" s="49"/>
      <c r="N35" s="49"/>
      <c r="O35" s="37">
        <f t="shared" si="1"/>
        <v>0</v>
      </c>
      <c r="P35" s="49"/>
      <c r="Q35" s="50">
        <f t="shared" si="2"/>
        <v>0</v>
      </c>
      <c r="R35" s="49"/>
      <c r="S35" s="50"/>
      <c r="T35" s="116"/>
      <c r="U35" s="49"/>
      <c r="V35" s="37">
        <f t="shared" si="4"/>
        <v>0</v>
      </c>
      <c r="W35" s="50">
        <v>0</v>
      </c>
      <c r="X35" s="50">
        <f t="shared" si="5"/>
        <v>0</v>
      </c>
    </row>
    <row r="36" spans="1:25" s="58" customFormat="1" x14ac:dyDescent="0.25">
      <c r="A36" s="53"/>
      <c r="B36" s="53"/>
      <c r="C36" s="53"/>
      <c r="D36" s="53"/>
      <c r="E36" s="53"/>
      <c r="F36" s="53">
        <v>425211</v>
      </c>
      <c r="G36" s="53">
        <f t="shared" si="7"/>
        <v>425200</v>
      </c>
      <c r="H36" s="54">
        <f t="shared" si="3"/>
        <v>425</v>
      </c>
      <c r="I36" s="54">
        <f t="shared" ref="I36:I64" si="8">VLOOKUP(H36,$H$67:$I$84,2,FALSE)</f>
        <v>187</v>
      </c>
      <c r="J36" s="55" t="s">
        <v>84</v>
      </c>
      <c r="K36" s="55"/>
      <c r="L36" s="56">
        <v>120000</v>
      </c>
      <c r="M36" s="57"/>
      <c r="N36" s="56"/>
      <c r="O36" s="37">
        <f t="shared" si="1"/>
        <v>120000</v>
      </c>
      <c r="P36" s="56"/>
      <c r="Q36" s="57">
        <f t="shared" si="2"/>
        <v>0</v>
      </c>
      <c r="R36" s="56"/>
      <c r="S36" s="57"/>
      <c r="T36" s="117"/>
      <c r="U36" s="56"/>
      <c r="V36" s="37">
        <f t="shared" si="4"/>
        <v>120000</v>
      </c>
      <c r="W36" s="57">
        <v>110000</v>
      </c>
      <c r="X36" s="57">
        <f t="shared" si="5"/>
        <v>10000</v>
      </c>
    </row>
    <row r="37" spans="1:25" s="58" customFormat="1" x14ac:dyDescent="0.25">
      <c r="A37" s="53"/>
      <c r="B37" s="53"/>
      <c r="C37" s="53"/>
      <c r="D37" s="53"/>
      <c r="E37" s="53"/>
      <c r="F37" s="53">
        <v>425212</v>
      </c>
      <c r="G37" s="53">
        <f t="shared" si="7"/>
        <v>425200</v>
      </c>
      <c r="H37" s="54">
        <f>IF(ISBLANK(F37)=TRUE,"",+VALUE(LEFT(F37,3)))</f>
        <v>425</v>
      </c>
      <c r="I37" s="54">
        <f t="shared" si="8"/>
        <v>187</v>
      </c>
      <c r="J37" s="55" t="s">
        <v>85</v>
      </c>
      <c r="K37" s="55"/>
      <c r="L37" s="57"/>
      <c r="M37" s="57"/>
      <c r="N37" s="56"/>
      <c r="O37" s="37">
        <f t="shared" si="1"/>
        <v>0</v>
      </c>
      <c r="P37" s="56"/>
      <c r="Q37" s="57">
        <f t="shared" si="2"/>
        <v>0</v>
      </c>
      <c r="R37" s="56"/>
      <c r="S37" s="57"/>
      <c r="T37" s="117"/>
      <c r="U37" s="56"/>
      <c r="V37" s="37">
        <f t="shared" si="4"/>
        <v>0</v>
      </c>
      <c r="W37" s="57">
        <v>0</v>
      </c>
      <c r="X37" s="57">
        <f t="shared" si="5"/>
        <v>0</v>
      </c>
    </row>
    <row r="38" spans="1:25" s="58" customFormat="1" x14ac:dyDescent="0.25">
      <c r="A38" s="53"/>
      <c r="B38" s="53"/>
      <c r="C38" s="53"/>
      <c r="D38" s="53"/>
      <c r="E38" s="53"/>
      <c r="F38" s="53">
        <v>425222</v>
      </c>
      <c r="G38" s="53">
        <f t="shared" si="7"/>
        <v>425200</v>
      </c>
      <c r="H38" s="54">
        <f t="shared" si="3"/>
        <v>425</v>
      </c>
      <c r="I38" s="54">
        <f t="shared" si="8"/>
        <v>187</v>
      </c>
      <c r="J38" s="55" t="s">
        <v>86</v>
      </c>
      <c r="K38" s="55"/>
      <c r="L38" s="56">
        <v>180000</v>
      </c>
      <c r="M38" s="57"/>
      <c r="N38" s="56"/>
      <c r="O38" s="37">
        <f t="shared" si="1"/>
        <v>180000</v>
      </c>
      <c r="P38" s="56"/>
      <c r="Q38" s="57">
        <f t="shared" si="2"/>
        <v>0</v>
      </c>
      <c r="R38" s="56"/>
      <c r="S38" s="57"/>
      <c r="T38" s="117"/>
      <c r="U38" s="56"/>
      <c r="V38" s="37">
        <f t="shared" si="4"/>
        <v>180000</v>
      </c>
      <c r="W38" s="57">
        <v>106000</v>
      </c>
      <c r="X38" s="57">
        <f>V38-W38</f>
        <v>74000</v>
      </c>
    </row>
    <row r="39" spans="1:25" s="58" customFormat="1" x14ac:dyDescent="0.25">
      <c r="A39" s="53"/>
      <c r="B39" s="53"/>
      <c r="C39" s="53"/>
      <c r="D39" s="53"/>
      <c r="E39" s="53"/>
      <c r="F39" s="53" t="s">
        <v>87</v>
      </c>
      <c r="G39" s="53">
        <f t="shared" si="7"/>
        <v>425200</v>
      </c>
      <c r="H39" s="54">
        <f t="shared" si="3"/>
        <v>425</v>
      </c>
      <c r="I39" s="54">
        <f t="shared" si="8"/>
        <v>187</v>
      </c>
      <c r="J39" s="55" t="s">
        <v>88</v>
      </c>
      <c r="K39" s="55"/>
      <c r="L39" s="57"/>
      <c r="M39" s="57"/>
      <c r="N39" s="56"/>
      <c r="O39" s="37">
        <f t="shared" si="1"/>
        <v>0</v>
      </c>
      <c r="P39" s="56"/>
      <c r="Q39" s="57">
        <f t="shared" si="2"/>
        <v>0</v>
      </c>
      <c r="R39" s="56"/>
      <c r="S39" s="57"/>
      <c r="T39" s="117"/>
      <c r="U39" s="56"/>
      <c r="V39" s="37">
        <f t="shared" si="4"/>
        <v>0</v>
      </c>
      <c r="W39" s="57">
        <v>0</v>
      </c>
      <c r="X39" s="57">
        <f>V39-W39</f>
        <v>0</v>
      </c>
    </row>
    <row r="40" spans="1:25" s="58" customFormat="1" x14ac:dyDescent="0.25">
      <c r="A40" s="53"/>
      <c r="B40" s="53"/>
      <c r="C40" s="53"/>
      <c r="D40" s="53"/>
      <c r="E40" s="53"/>
      <c r="F40" s="53">
        <v>425225</v>
      </c>
      <c r="G40" s="53">
        <f t="shared" si="7"/>
        <v>425200</v>
      </c>
      <c r="H40" s="54">
        <f t="shared" si="3"/>
        <v>425</v>
      </c>
      <c r="I40" s="54">
        <f t="shared" si="8"/>
        <v>187</v>
      </c>
      <c r="J40" s="55" t="s">
        <v>89</v>
      </c>
      <c r="K40" s="55"/>
      <c r="L40" s="56">
        <v>250000</v>
      </c>
      <c r="M40" s="57"/>
      <c r="N40" s="56"/>
      <c r="O40" s="37">
        <f t="shared" si="1"/>
        <v>250000</v>
      </c>
      <c r="P40" s="56"/>
      <c r="Q40" s="57">
        <f t="shared" si="2"/>
        <v>0</v>
      </c>
      <c r="R40" s="56"/>
      <c r="S40" s="57"/>
      <c r="T40" s="117"/>
      <c r="U40" s="56"/>
      <c r="V40" s="37">
        <f t="shared" si="4"/>
        <v>250000</v>
      </c>
      <c r="W40" s="57">
        <v>300000</v>
      </c>
      <c r="X40" s="57">
        <f t="shared" si="5"/>
        <v>-50000</v>
      </c>
    </row>
    <row r="41" spans="1:25" s="58" customFormat="1" x14ac:dyDescent="0.25">
      <c r="A41" s="53"/>
      <c r="B41" s="53"/>
      <c r="C41" s="53"/>
      <c r="D41" s="53"/>
      <c r="E41" s="53"/>
      <c r="F41" s="53">
        <v>425226</v>
      </c>
      <c r="G41" s="53">
        <f t="shared" si="7"/>
        <v>425200</v>
      </c>
      <c r="H41" s="54">
        <f t="shared" si="3"/>
        <v>425</v>
      </c>
      <c r="I41" s="54">
        <f t="shared" si="8"/>
        <v>187</v>
      </c>
      <c r="J41" s="55" t="s">
        <v>90</v>
      </c>
      <c r="K41" s="55"/>
      <c r="L41" s="57"/>
      <c r="M41" s="57"/>
      <c r="N41" s="56"/>
      <c r="O41" s="37">
        <f t="shared" si="1"/>
        <v>0</v>
      </c>
      <c r="P41" s="56"/>
      <c r="Q41" s="57">
        <f t="shared" si="2"/>
        <v>0</v>
      </c>
      <c r="R41" s="56"/>
      <c r="S41" s="57"/>
      <c r="T41" s="117"/>
      <c r="U41" s="56"/>
      <c r="V41" s="37">
        <f t="shared" si="4"/>
        <v>0</v>
      </c>
      <c r="W41" s="57">
        <v>0</v>
      </c>
      <c r="X41" s="57">
        <f t="shared" si="5"/>
        <v>0</v>
      </c>
    </row>
    <row r="42" spans="1:25" s="58" customFormat="1" x14ac:dyDescent="0.25">
      <c r="A42" s="53"/>
      <c r="B42" s="53"/>
      <c r="C42" s="53"/>
      <c r="D42" s="53"/>
      <c r="E42" s="53"/>
      <c r="F42" s="53" t="s">
        <v>91</v>
      </c>
      <c r="G42" s="53">
        <f t="shared" si="7"/>
        <v>425200</v>
      </c>
      <c r="H42" s="54">
        <f t="shared" si="3"/>
        <v>425</v>
      </c>
      <c r="I42" s="54">
        <f t="shared" si="8"/>
        <v>187</v>
      </c>
      <c r="J42" s="55" t="s">
        <v>92</v>
      </c>
      <c r="K42" s="55"/>
      <c r="L42" s="56">
        <v>350000</v>
      </c>
      <c r="M42" s="57"/>
      <c r="N42" s="56"/>
      <c r="O42" s="37">
        <f t="shared" si="1"/>
        <v>350000</v>
      </c>
      <c r="P42" s="56"/>
      <c r="Q42" s="57">
        <f t="shared" si="2"/>
        <v>0</v>
      </c>
      <c r="R42" s="56"/>
      <c r="S42" s="57"/>
      <c r="T42" s="117"/>
      <c r="U42" s="56"/>
      <c r="V42" s="37">
        <f t="shared" si="4"/>
        <v>350000</v>
      </c>
      <c r="W42" s="57">
        <v>300000</v>
      </c>
      <c r="X42" s="57">
        <f t="shared" si="5"/>
        <v>50000</v>
      </c>
    </row>
    <row r="43" spans="1:25" s="58" customFormat="1" x14ac:dyDescent="0.25">
      <c r="A43" s="53"/>
      <c r="B43" s="53"/>
      <c r="C43" s="53"/>
      <c r="D43" s="53"/>
      <c r="E43" s="53"/>
      <c r="F43" s="53" t="s">
        <v>93</v>
      </c>
      <c r="G43" s="53">
        <f t="shared" si="7"/>
        <v>425200</v>
      </c>
      <c r="H43" s="54">
        <f t="shared" si="3"/>
        <v>425</v>
      </c>
      <c r="I43" s="54">
        <f t="shared" si="8"/>
        <v>187</v>
      </c>
      <c r="J43" s="55" t="s">
        <v>94</v>
      </c>
      <c r="K43" s="55"/>
      <c r="L43" s="56">
        <v>250000</v>
      </c>
      <c r="M43" s="57"/>
      <c r="N43" s="56"/>
      <c r="O43" s="37">
        <f t="shared" si="1"/>
        <v>250000</v>
      </c>
      <c r="P43" s="56"/>
      <c r="Q43" s="57">
        <f t="shared" si="2"/>
        <v>0</v>
      </c>
      <c r="R43" s="56"/>
      <c r="S43" s="57"/>
      <c r="T43" s="117"/>
      <c r="U43" s="56"/>
      <c r="V43" s="37">
        <f t="shared" si="4"/>
        <v>250000</v>
      </c>
      <c r="W43" s="57">
        <v>200000</v>
      </c>
      <c r="X43" s="57">
        <f t="shared" si="5"/>
        <v>50000</v>
      </c>
    </row>
    <row r="44" spans="1:25" x14ac:dyDescent="0.25">
      <c r="A44" s="34"/>
      <c r="B44" s="34"/>
      <c r="C44" s="34"/>
      <c r="D44" s="34"/>
      <c r="E44" s="34"/>
      <c r="F44" s="34" t="s">
        <v>95</v>
      </c>
      <c r="G44" s="34">
        <f t="shared" si="6"/>
        <v>426100</v>
      </c>
      <c r="H44" s="35">
        <f t="shared" si="3"/>
        <v>426</v>
      </c>
      <c r="I44" s="35">
        <f t="shared" si="8"/>
        <v>188</v>
      </c>
      <c r="J44" s="36" t="s">
        <v>96</v>
      </c>
      <c r="K44" s="36"/>
      <c r="L44" s="37">
        <v>252000</v>
      </c>
      <c r="M44" s="37"/>
      <c r="N44" s="38">
        <v>898000</v>
      </c>
      <c r="O44" s="37">
        <f t="shared" si="1"/>
        <v>1150000</v>
      </c>
      <c r="P44" s="38">
        <v>150000</v>
      </c>
      <c r="Q44" s="59">
        <f t="shared" si="2"/>
        <v>1048000</v>
      </c>
      <c r="R44" s="38"/>
      <c r="S44" s="37"/>
      <c r="T44" s="115"/>
      <c r="U44" s="38">
        <v>203000</v>
      </c>
      <c r="V44" s="37">
        <f t="shared" si="4"/>
        <v>1503000</v>
      </c>
      <c r="W44" s="37">
        <v>1200000</v>
      </c>
      <c r="X44" s="37">
        <f t="shared" si="5"/>
        <v>303000</v>
      </c>
    </row>
    <row r="45" spans="1:25" x14ac:dyDescent="0.25">
      <c r="A45" s="34"/>
      <c r="B45" s="34"/>
      <c r="C45" s="34"/>
      <c r="D45" s="34"/>
      <c r="E45" s="34"/>
      <c r="F45" s="34" t="s">
        <v>97</v>
      </c>
      <c r="G45" s="34">
        <f t="shared" si="6"/>
        <v>426300</v>
      </c>
      <c r="H45" s="35">
        <f t="shared" si="3"/>
        <v>426</v>
      </c>
      <c r="I45" s="35">
        <f t="shared" si="8"/>
        <v>188</v>
      </c>
      <c r="J45" s="36" t="s">
        <v>98</v>
      </c>
      <c r="K45" s="36"/>
      <c r="L45" s="37">
        <v>70000</v>
      </c>
      <c r="M45" s="37"/>
      <c r="N45" s="38">
        <v>200000</v>
      </c>
      <c r="O45" s="37">
        <f t="shared" si="1"/>
        <v>270000</v>
      </c>
      <c r="P45" s="38">
        <v>80000</v>
      </c>
      <c r="Q45" s="59">
        <f t="shared" si="2"/>
        <v>280000</v>
      </c>
      <c r="R45" s="38"/>
      <c r="S45" s="37"/>
      <c r="T45" s="115"/>
      <c r="U45" s="38"/>
      <c r="V45" s="37">
        <f t="shared" si="4"/>
        <v>350000</v>
      </c>
      <c r="W45" s="37">
        <v>384000</v>
      </c>
      <c r="X45" s="37">
        <f t="shared" si="5"/>
        <v>-34000</v>
      </c>
    </row>
    <row r="46" spans="1:25" x14ac:dyDescent="0.25">
      <c r="A46" s="34"/>
      <c r="B46" s="34"/>
      <c r="C46" s="34"/>
      <c r="D46" s="34"/>
      <c r="E46" s="34"/>
      <c r="F46" s="34" t="s">
        <v>99</v>
      </c>
      <c r="G46" s="34">
        <f t="shared" si="6"/>
        <v>426400</v>
      </c>
      <c r="H46" s="35">
        <f t="shared" si="3"/>
        <v>426</v>
      </c>
      <c r="I46" s="35">
        <f t="shared" si="8"/>
        <v>188</v>
      </c>
      <c r="J46" s="36" t="s">
        <v>100</v>
      </c>
      <c r="K46" s="36"/>
      <c r="L46" s="37">
        <v>500000</v>
      </c>
      <c r="M46" s="37"/>
      <c r="N46" s="38">
        <v>400000</v>
      </c>
      <c r="O46" s="37">
        <f t="shared" si="1"/>
        <v>900000</v>
      </c>
      <c r="P46" s="38">
        <v>200000</v>
      </c>
      <c r="Q46" s="59">
        <f t="shared" si="2"/>
        <v>600000</v>
      </c>
      <c r="R46" s="38"/>
      <c r="S46" s="37"/>
      <c r="T46" s="115"/>
      <c r="U46" s="38"/>
      <c r="V46" s="37">
        <f t="shared" si="4"/>
        <v>1100000</v>
      </c>
      <c r="W46" s="37">
        <v>1100000</v>
      </c>
      <c r="X46" s="37">
        <f t="shared" si="5"/>
        <v>0</v>
      </c>
    </row>
    <row r="47" spans="1:25" x14ac:dyDescent="0.25">
      <c r="A47" s="34"/>
      <c r="B47" s="34"/>
      <c r="C47" s="34"/>
      <c r="D47" s="34"/>
      <c r="E47" s="34"/>
      <c r="F47" s="34" t="s">
        <v>101</v>
      </c>
      <c r="G47" s="34">
        <f t="shared" si="6"/>
        <v>426600</v>
      </c>
      <c r="H47" s="35">
        <f t="shared" si="3"/>
        <v>426</v>
      </c>
      <c r="I47" s="35">
        <f t="shared" si="8"/>
        <v>188</v>
      </c>
      <c r="J47" s="36" t="s">
        <v>102</v>
      </c>
      <c r="K47" s="36"/>
      <c r="L47" s="37">
        <v>2300000</v>
      </c>
      <c r="M47" s="37"/>
      <c r="N47" s="38">
        <v>500000</v>
      </c>
      <c r="O47" s="37">
        <f t="shared" si="1"/>
        <v>2800000</v>
      </c>
      <c r="P47" s="38">
        <v>100000</v>
      </c>
      <c r="Q47" s="59">
        <f t="shared" si="2"/>
        <v>600000</v>
      </c>
      <c r="R47" s="38"/>
      <c r="S47" s="37">
        <v>25000</v>
      </c>
      <c r="T47" s="115"/>
      <c r="U47" s="38"/>
      <c r="V47" s="37">
        <f t="shared" si="4"/>
        <v>2925000</v>
      </c>
      <c r="W47" s="37">
        <v>2950000</v>
      </c>
      <c r="X47" s="37">
        <f t="shared" si="5"/>
        <v>-25000</v>
      </c>
    </row>
    <row r="48" spans="1:25" x14ac:dyDescent="0.25">
      <c r="A48" s="34"/>
      <c r="B48" s="34"/>
      <c r="C48" s="34"/>
      <c r="D48" s="34"/>
      <c r="E48" s="34"/>
      <c r="F48" s="34" t="s">
        <v>103</v>
      </c>
      <c r="G48" s="34">
        <f t="shared" si="6"/>
        <v>426800</v>
      </c>
      <c r="H48" s="35">
        <f t="shared" si="3"/>
        <v>426</v>
      </c>
      <c r="I48" s="35">
        <f t="shared" si="8"/>
        <v>188</v>
      </c>
      <c r="J48" s="36" t="s">
        <v>104</v>
      </c>
      <c r="K48" s="36"/>
      <c r="L48" s="37">
        <v>16600000</v>
      </c>
      <c r="M48" s="37"/>
      <c r="N48" s="38">
        <v>6200000</v>
      </c>
      <c r="O48" s="37">
        <f t="shared" si="1"/>
        <v>22800000</v>
      </c>
      <c r="P48" s="38">
        <v>700000</v>
      </c>
      <c r="Q48" s="59">
        <f t="shared" si="2"/>
        <v>6900000</v>
      </c>
      <c r="R48" s="38"/>
      <c r="S48" s="37"/>
      <c r="T48" s="115"/>
      <c r="U48" s="38">
        <v>366000</v>
      </c>
      <c r="V48" s="37">
        <f t="shared" si="4"/>
        <v>23866000</v>
      </c>
      <c r="W48" s="37">
        <v>24117000</v>
      </c>
      <c r="X48" s="37">
        <f t="shared" si="5"/>
        <v>-251000</v>
      </c>
    </row>
    <row r="49" spans="1:24" x14ac:dyDescent="0.25">
      <c r="A49" s="34"/>
      <c r="B49" s="34"/>
      <c r="C49" s="34"/>
      <c r="D49" s="34"/>
      <c r="E49" s="34"/>
      <c r="F49" s="34" t="s">
        <v>105</v>
      </c>
      <c r="G49" s="34">
        <f t="shared" si="6"/>
        <v>426900</v>
      </c>
      <c r="H49" s="35">
        <f t="shared" si="3"/>
        <v>426</v>
      </c>
      <c r="I49" s="35">
        <f t="shared" si="8"/>
        <v>188</v>
      </c>
      <c r="J49" s="36" t="s">
        <v>106</v>
      </c>
      <c r="K49" s="36"/>
      <c r="L49" s="37">
        <v>1463000</v>
      </c>
      <c r="M49" s="37"/>
      <c r="N49" s="38">
        <v>500000</v>
      </c>
      <c r="O49" s="37">
        <f t="shared" si="1"/>
        <v>1963000</v>
      </c>
      <c r="P49" s="38">
        <v>255000</v>
      </c>
      <c r="Q49" s="59">
        <f t="shared" si="2"/>
        <v>755000</v>
      </c>
      <c r="R49" s="38">
        <v>40000</v>
      </c>
      <c r="S49" s="37"/>
      <c r="T49" s="115">
        <v>151000</v>
      </c>
      <c r="U49" s="38"/>
      <c r="V49" s="37">
        <f t="shared" si="4"/>
        <v>2409000</v>
      </c>
      <c r="W49" s="37">
        <v>2309000</v>
      </c>
      <c r="X49" s="37">
        <f t="shared" si="5"/>
        <v>100000</v>
      </c>
    </row>
    <row r="50" spans="1:24" x14ac:dyDescent="0.25">
      <c r="A50" s="34"/>
      <c r="B50" s="34"/>
      <c r="C50" s="34"/>
      <c r="D50" s="34"/>
      <c r="E50" s="34"/>
      <c r="F50" s="34" t="s">
        <v>107</v>
      </c>
      <c r="G50" s="34">
        <f t="shared" si="6"/>
        <v>465100</v>
      </c>
      <c r="H50" s="35">
        <f t="shared" si="3"/>
        <v>465</v>
      </c>
      <c r="I50" s="35">
        <f t="shared" si="8"/>
        <v>189</v>
      </c>
      <c r="J50" s="36" t="s">
        <v>108</v>
      </c>
      <c r="K50" s="36"/>
      <c r="L50" s="37">
        <v>2460000</v>
      </c>
      <c r="M50" s="37"/>
      <c r="N50" s="38">
        <v>340000</v>
      </c>
      <c r="O50" s="37">
        <f t="shared" si="1"/>
        <v>2800000</v>
      </c>
      <c r="P50" s="38"/>
      <c r="Q50" s="59">
        <f t="shared" si="2"/>
        <v>340000</v>
      </c>
      <c r="R50" s="38"/>
      <c r="S50" s="37"/>
      <c r="T50" s="115"/>
      <c r="U50" s="38"/>
      <c r="V50" s="37">
        <f t="shared" si="4"/>
        <v>2800000</v>
      </c>
      <c r="W50" s="37">
        <v>2060000</v>
      </c>
      <c r="X50" s="37">
        <f t="shared" si="5"/>
        <v>740000</v>
      </c>
    </row>
    <row r="51" spans="1:24" x14ac:dyDescent="0.25">
      <c r="A51" s="34"/>
      <c r="B51" s="34"/>
      <c r="C51" s="34"/>
      <c r="D51" s="34"/>
      <c r="E51" s="34"/>
      <c r="F51" s="34" t="s">
        <v>109</v>
      </c>
      <c r="G51" s="34">
        <f t="shared" si="6"/>
        <v>482100</v>
      </c>
      <c r="H51" s="35">
        <f t="shared" si="3"/>
        <v>482</v>
      </c>
      <c r="I51" s="35">
        <f t="shared" si="8"/>
        <v>190</v>
      </c>
      <c r="J51" s="36" t="s">
        <v>110</v>
      </c>
      <c r="K51" s="36"/>
      <c r="L51" s="37">
        <v>100000</v>
      </c>
      <c r="M51" s="37"/>
      <c r="N51" s="38">
        <v>45000</v>
      </c>
      <c r="O51" s="37">
        <f t="shared" si="1"/>
        <v>145000</v>
      </c>
      <c r="P51" s="38">
        <v>25000</v>
      </c>
      <c r="Q51" s="59">
        <f t="shared" si="2"/>
        <v>70000</v>
      </c>
      <c r="R51" s="38"/>
      <c r="S51" s="37"/>
      <c r="T51" s="115"/>
      <c r="U51" s="38"/>
      <c r="V51" s="37">
        <f t="shared" si="4"/>
        <v>170000</v>
      </c>
      <c r="W51" s="37">
        <v>170000</v>
      </c>
      <c r="X51" s="37">
        <f t="shared" si="5"/>
        <v>0</v>
      </c>
    </row>
    <row r="52" spans="1:24" x14ac:dyDescent="0.25">
      <c r="A52" s="34"/>
      <c r="B52" s="34"/>
      <c r="C52" s="34"/>
      <c r="D52" s="34"/>
      <c r="E52" s="34"/>
      <c r="F52" s="34" t="s">
        <v>111</v>
      </c>
      <c r="G52" s="34">
        <f t="shared" si="6"/>
        <v>482200</v>
      </c>
      <c r="H52" s="35">
        <f t="shared" si="3"/>
        <v>482</v>
      </c>
      <c r="I52" s="35">
        <f t="shared" si="8"/>
        <v>190</v>
      </c>
      <c r="J52" s="36" t="s">
        <v>112</v>
      </c>
      <c r="K52" s="36"/>
      <c r="L52" s="37">
        <v>50000</v>
      </c>
      <c r="M52" s="37"/>
      <c r="N52" s="38"/>
      <c r="O52" s="37">
        <f t="shared" si="1"/>
        <v>50000</v>
      </c>
      <c r="P52" s="38">
        <v>20000</v>
      </c>
      <c r="Q52" s="59">
        <f t="shared" si="2"/>
        <v>20000</v>
      </c>
      <c r="R52" s="38"/>
      <c r="S52" s="37"/>
      <c r="T52" s="115"/>
      <c r="U52" s="38"/>
      <c r="V52" s="37">
        <f t="shared" si="4"/>
        <v>70000</v>
      </c>
      <c r="W52" s="37">
        <v>70000</v>
      </c>
      <c r="X52" s="37">
        <f t="shared" si="5"/>
        <v>0</v>
      </c>
    </row>
    <row r="53" spans="1:24" s="5" customFormat="1" hidden="1" x14ac:dyDescent="0.25">
      <c r="A53" s="60"/>
      <c r="B53" s="60"/>
      <c r="C53" s="60"/>
      <c r="D53" s="60"/>
      <c r="E53" s="60"/>
      <c r="F53" s="60" t="s">
        <v>113</v>
      </c>
      <c r="G53" s="60">
        <f t="shared" si="6"/>
        <v>483100</v>
      </c>
      <c r="H53" s="61">
        <f t="shared" si="3"/>
        <v>483</v>
      </c>
      <c r="I53" s="61">
        <f t="shared" si="8"/>
        <v>0</v>
      </c>
      <c r="J53" s="62" t="s">
        <v>114</v>
      </c>
      <c r="K53" s="62"/>
      <c r="L53" s="63"/>
      <c r="M53" s="63"/>
      <c r="N53" s="39"/>
      <c r="O53" s="37">
        <f t="shared" si="1"/>
        <v>0</v>
      </c>
      <c r="P53" s="39"/>
      <c r="Q53" s="59">
        <f t="shared" si="2"/>
        <v>0</v>
      </c>
      <c r="R53" s="38"/>
      <c r="S53" s="37"/>
      <c r="T53" s="115"/>
      <c r="U53" s="38"/>
      <c r="V53" s="37">
        <f t="shared" si="4"/>
        <v>0</v>
      </c>
      <c r="W53" s="63">
        <v>0</v>
      </c>
      <c r="X53" s="63">
        <f t="shared" si="5"/>
        <v>0</v>
      </c>
    </row>
    <row r="54" spans="1:24" s="5" customFormat="1" hidden="1" x14ac:dyDescent="0.25">
      <c r="A54" s="60"/>
      <c r="B54" s="60"/>
      <c r="C54" s="60"/>
      <c r="D54" s="60"/>
      <c r="E54" s="60"/>
      <c r="F54" s="60" t="s">
        <v>115</v>
      </c>
      <c r="G54" s="60">
        <f t="shared" si="6"/>
        <v>485100</v>
      </c>
      <c r="H54" s="61">
        <f t="shared" si="3"/>
        <v>485</v>
      </c>
      <c r="I54" s="61">
        <f t="shared" si="8"/>
        <v>0</v>
      </c>
      <c r="J54" s="62" t="s">
        <v>116</v>
      </c>
      <c r="K54" s="62"/>
      <c r="L54" s="63"/>
      <c r="M54" s="63"/>
      <c r="N54" s="39"/>
      <c r="O54" s="37">
        <f t="shared" si="1"/>
        <v>0</v>
      </c>
      <c r="P54" s="39"/>
      <c r="Q54" s="59">
        <f t="shared" si="2"/>
        <v>0</v>
      </c>
      <c r="R54" s="38"/>
      <c r="S54" s="37"/>
      <c r="T54" s="115"/>
      <c r="U54" s="38"/>
      <c r="V54" s="37">
        <f t="shared" si="4"/>
        <v>0</v>
      </c>
      <c r="W54" s="63">
        <v>0</v>
      </c>
      <c r="X54" s="63">
        <f t="shared" si="5"/>
        <v>0</v>
      </c>
    </row>
    <row r="55" spans="1:24" s="5" customFormat="1" hidden="1" x14ac:dyDescent="0.25">
      <c r="A55" s="60"/>
      <c r="B55" s="60"/>
      <c r="C55" s="60"/>
      <c r="D55" s="60"/>
      <c r="E55" s="60"/>
      <c r="F55" s="60" t="s">
        <v>117</v>
      </c>
      <c r="G55" s="60">
        <f t="shared" si="6"/>
        <v>511300</v>
      </c>
      <c r="H55" s="61">
        <f t="shared" si="3"/>
        <v>511</v>
      </c>
      <c r="I55" s="61">
        <f t="shared" si="8"/>
        <v>0</v>
      </c>
      <c r="J55" s="62" t="s">
        <v>118</v>
      </c>
      <c r="K55" s="62"/>
      <c r="L55" s="63"/>
      <c r="M55" s="63"/>
      <c r="N55" s="39"/>
      <c r="O55" s="37">
        <f t="shared" si="1"/>
        <v>0</v>
      </c>
      <c r="P55" s="39"/>
      <c r="Q55" s="59">
        <f t="shared" si="2"/>
        <v>0</v>
      </c>
      <c r="R55" s="38"/>
      <c r="S55" s="37"/>
      <c r="T55" s="115"/>
      <c r="U55" s="38"/>
      <c r="V55" s="37">
        <f t="shared" si="4"/>
        <v>0</v>
      </c>
      <c r="W55" s="63">
        <v>0</v>
      </c>
      <c r="X55" s="63">
        <f t="shared" si="5"/>
        <v>0</v>
      </c>
    </row>
    <row r="56" spans="1:24" s="5" customFormat="1" hidden="1" x14ac:dyDescent="0.25">
      <c r="A56" s="60"/>
      <c r="B56" s="60"/>
      <c r="C56" s="60"/>
      <c r="D56" s="60"/>
      <c r="E56" s="60"/>
      <c r="F56" s="60" t="s">
        <v>119</v>
      </c>
      <c r="G56" s="60">
        <f t="shared" si="6"/>
        <v>511400</v>
      </c>
      <c r="H56" s="61">
        <f t="shared" si="3"/>
        <v>511</v>
      </c>
      <c r="I56" s="61">
        <f t="shared" si="8"/>
        <v>0</v>
      </c>
      <c r="J56" s="62" t="s">
        <v>120</v>
      </c>
      <c r="K56" s="62"/>
      <c r="L56" s="63"/>
      <c r="M56" s="63"/>
      <c r="N56" s="39"/>
      <c r="O56" s="37">
        <f t="shared" si="1"/>
        <v>0</v>
      </c>
      <c r="P56" s="39"/>
      <c r="Q56" s="59">
        <f t="shared" si="2"/>
        <v>0</v>
      </c>
      <c r="R56" s="38"/>
      <c r="S56" s="37"/>
      <c r="T56" s="115"/>
      <c r="U56" s="38"/>
      <c r="V56" s="37">
        <f t="shared" si="4"/>
        <v>0</v>
      </c>
      <c r="W56" s="63">
        <v>0</v>
      </c>
      <c r="X56" s="63">
        <f t="shared" si="5"/>
        <v>0</v>
      </c>
    </row>
    <row r="57" spans="1:24" s="5" customFormat="1" x14ac:dyDescent="0.25">
      <c r="A57" s="60"/>
      <c r="B57" s="60"/>
      <c r="C57" s="60"/>
      <c r="D57" s="60"/>
      <c r="E57" s="60"/>
      <c r="F57" s="118" t="s">
        <v>115</v>
      </c>
      <c r="G57" s="118">
        <f t="shared" si="6"/>
        <v>485100</v>
      </c>
      <c r="H57" s="119">
        <f t="shared" si="3"/>
        <v>485</v>
      </c>
      <c r="I57" s="119">
        <f t="shared" si="8"/>
        <v>0</v>
      </c>
      <c r="J57" s="120" t="s">
        <v>147</v>
      </c>
      <c r="K57" s="120"/>
      <c r="L57" s="121">
        <v>237000</v>
      </c>
      <c r="M57" s="63">
        <v>172000</v>
      </c>
      <c r="N57" s="39"/>
      <c r="O57" s="37">
        <f t="shared" si="1"/>
        <v>409000</v>
      </c>
      <c r="P57" s="39"/>
      <c r="Q57" s="59">
        <f t="shared" si="2"/>
        <v>0</v>
      </c>
      <c r="R57" s="38"/>
      <c r="S57" s="37"/>
      <c r="T57" s="115"/>
      <c r="U57" s="38"/>
      <c r="V57" s="37">
        <f t="shared" si="4"/>
        <v>409000</v>
      </c>
      <c r="W57" s="63"/>
      <c r="X57" s="63"/>
    </row>
    <row r="58" spans="1:24" s="5" customFormat="1" x14ac:dyDescent="0.25">
      <c r="A58" s="60"/>
      <c r="B58" s="60"/>
      <c r="C58" s="60"/>
      <c r="D58" s="60"/>
      <c r="E58" s="60"/>
      <c r="F58" s="118" t="s">
        <v>117</v>
      </c>
      <c r="G58" s="118">
        <f t="shared" si="6"/>
        <v>511300</v>
      </c>
      <c r="H58" s="119">
        <f t="shared" si="3"/>
        <v>511</v>
      </c>
      <c r="I58" s="119">
        <f t="shared" si="8"/>
        <v>0</v>
      </c>
      <c r="J58" s="120" t="s">
        <v>148</v>
      </c>
      <c r="K58" s="120"/>
      <c r="L58" s="121">
        <v>2160000</v>
      </c>
      <c r="M58" s="63"/>
      <c r="N58" s="39"/>
      <c r="O58" s="37">
        <f t="shared" si="1"/>
        <v>2160000</v>
      </c>
      <c r="P58" s="39"/>
      <c r="Q58" s="59">
        <f t="shared" si="2"/>
        <v>0</v>
      </c>
      <c r="R58" s="38"/>
      <c r="S58" s="37"/>
      <c r="T58" s="115"/>
      <c r="U58" s="38"/>
      <c r="V58" s="37">
        <f t="shared" si="4"/>
        <v>2160000</v>
      </c>
      <c r="W58" s="63"/>
      <c r="X58" s="63"/>
    </row>
    <row r="59" spans="1:24" x14ac:dyDescent="0.25">
      <c r="A59" s="34"/>
      <c r="B59" s="34"/>
      <c r="C59" s="34"/>
      <c r="D59" s="34"/>
      <c r="E59" s="34"/>
      <c r="F59" s="34" t="s">
        <v>121</v>
      </c>
      <c r="G59" s="34">
        <f t="shared" si="6"/>
        <v>512100</v>
      </c>
      <c r="H59" s="35">
        <f t="shared" si="3"/>
        <v>512</v>
      </c>
      <c r="I59" s="35">
        <f t="shared" si="8"/>
        <v>191</v>
      </c>
      <c r="J59" s="36" t="s">
        <v>122</v>
      </c>
      <c r="K59" s="36"/>
      <c r="L59" s="37">
        <v>1380000</v>
      </c>
      <c r="M59" s="37"/>
      <c r="N59" s="38"/>
      <c r="O59" s="37">
        <f t="shared" si="1"/>
        <v>1380000</v>
      </c>
      <c r="P59" s="38"/>
      <c r="Q59" s="59">
        <f t="shared" si="2"/>
        <v>0</v>
      </c>
      <c r="R59" s="38"/>
      <c r="S59" s="37"/>
      <c r="T59" s="37"/>
      <c r="U59" s="38"/>
      <c r="V59" s="37">
        <f t="shared" si="4"/>
        <v>1380000</v>
      </c>
      <c r="W59" s="37">
        <v>380000</v>
      </c>
      <c r="X59" s="37">
        <f t="shared" si="5"/>
        <v>1000000</v>
      </c>
    </row>
    <row r="60" spans="1:24" x14ac:dyDescent="0.25">
      <c r="A60" s="34"/>
      <c r="B60" s="34"/>
      <c r="C60" s="34"/>
      <c r="D60" s="34"/>
      <c r="E60" s="34"/>
      <c r="F60" s="34" t="s">
        <v>123</v>
      </c>
      <c r="G60" s="34">
        <f t="shared" si="6"/>
        <v>512200</v>
      </c>
      <c r="H60" s="35">
        <f t="shared" si="3"/>
        <v>512</v>
      </c>
      <c r="I60" s="35">
        <f t="shared" si="8"/>
        <v>191</v>
      </c>
      <c r="J60" s="36" t="s">
        <v>124</v>
      </c>
      <c r="K60" s="36"/>
      <c r="L60" s="37">
        <v>1009000</v>
      </c>
      <c r="M60" s="37"/>
      <c r="N60" s="38">
        <v>741000</v>
      </c>
      <c r="O60" s="37">
        <f t="shared" si="1"/>
        <v>1750000</v>
      </c>
      <c r="P60" s="38"/>
      <c r="Q60" s="59">
        <f t="shared" si="2"/>
        <v>741000</v>
      </c>
      <c r="R60" s="38"/>
      <c r="S60" s="37"/>
      <c r="T60" s="115"/>
      <c r="U60" s="38"/>
      <c r="V60" s="37">
        <f t="shared" si="4"/>
        <v>1750000</v>
      </c>
      <c r="W60" s="37">
        <v>1230000</v>
      </c>
      <c r="X60" s="37">
        <f t="shared" si="5"/>
        <v>520000</v>
      </c>
    </row>
    <row r="61" spans="1:24" x14ac:dyDescent="0.25">
      <c r="A61" s="34"/>
      <c r="B61" s="34"/>
      <c r="C61" s="34"/>
      <c r="D61" s="34"/>
      <c r="E61" s="34"/>
      <c r="F61" s="34" t="s">
        <v>125</v>
      </c>
      <c r="G61" s="34">
        <f t="shared" si="6"/>
        <v>512800</v>
      </c>
      <c r="H61" s="35">
        <f t="shared" si="3"/>
        <v>512</v>
      </c>
      <c r="I61" s="35">
        <f t="shared" si="8"/>
        <v>191</v>
      </c>
      <c r="J61" s="36" t="s">
        <v>126</v>
      </c>
      <c r="K61" s="36"/>
      <c r="L61" s="37"/>
      <c r="M61" s="37"/>
      <c r="N61" s="38"/>
      <c r="O61" s="37">
        <f t="shared" si="1"/>
        <v>0</v>
      </c>
      <c r="P61" s="38"/>
      <c r="Q61" s="59">
        <f t="shared" si="2"/>
        <v>0</v>
      </c>
      <c r="R61" s="38"/>
      <c r="S61" s="37"/>
      <c r="T61" s="115"/>
      <c r="U61" s="38"/>
      <c r="V61" s="37">
        <f t="shared" si="4"/>
        <v>0</v>
      </c>
      <c r="W61" s="37">
        <v>0</v>
      </c>
      <c r="X61" s="37">
        <f t="shared" si="5"/>
        <v>0</v>
      </c>
    </row>
    <row r="62" spans="1:24" x14ac:dyDescent="0.25">
      <c r="A62" s="34"/>
      <c r="B62" s="34"/>
      <c r="C62" s="34"/>
      <c r="D62" s="34"/>
      <c r="E62" s="34"/>
      <c r="F62" s="34"/>
      <c r="G62" s="64"/>
      <c r="H62" s="35"/>
      <c r="I62" s="35" t="e">
        <f t="shared" si="8"/>
        <v>#N/A</v>
      </c>
      <c r="J62" s="36"/>
      <c r="K62" s="36"/>
      <c r="L62" s="37"/>
      <c r="M62" s="37"/>
      <c r="N62" s="38"/>
      <c r="O62" s="37">
        <f t="shared" si="1"/>
        <v>0</v>
      </c>
      <c r="P62" s="38"/>
      <c r="Q62" s="59">
        <f t="shared" si="2"/>
        <v>0</v>
      </c>
      <c r="R62" s="38"/>
      <c r="S62" s="37"/>
      <c r="T62" s="115"/>
      <c r="U62" s="38"/>
      <c r="V62" s="37">
        <f t="shared" si="4"/>
        <v>0</v>
      </c>
      <c r="W62" s="37">
        <v>0</v>
      </c>
      <c r="X62" s="37">
        <f t="shared" si="5"/>
        <v>0</v>
      </c>
    </row>
    <row r="63" spans="1:24" x14ac:dyDescent="0.25">
      <c r="A63" s="34"/>
      <c r="B63" s="34"/>
      <c r="C63" s="34"/>
      <c r="D63" s="34"/>
      <c r="E63" s="34"/>
      <c r="F63" s="34"/>
      <c r="G63" s="64"/>
      <c r="H63" s="35" t="str">
        <f t="shared" si="3"/>
        <v/>
      </c>
      <c r="I63" s="35" t="e">
        <f t="shared" si="8"/>
        <v>#N/A</v>
      </c>
      <c r="J63" s="36"/>
      <c r="K63" s="36"/>
      <c r="L63" s="37"/>
      <c r="M63" s="37"/>
      <c r="N63" s="38"/>
      <c r="O63" s="37">
        <f t="shared" si="1"/>
        <v>0</v>
      </c>
      <c r="P63" s="38"/>
      <c r="Q63" s="59">
        <f t="shared" si="2"/>
        <v>0</v>
      </c>
      <c r="R63" s="38"/>
      <c r="S63" s="37"/>
      <c r="T63" s="115"/>
      <c r="U63" s="38"/>
      <c r="V63" s="37">
        <f t="shared" si="4"/>
        <v>0</v>
      </c>
      <c r="W63" s="37">
        <v>0</v>
      </c>
      <c r="X63" s="37">
        <f t="shared" si="5"/>
        <v>0</v>
      </c>
    </row>
    <row r="64" spans="1:24" x14ac:dyDescent="0.25">
      <c r="A64" s="34">
        <v>5</v>
      </c>
      <c r="B64" s="34" t="s">
        <v>25</v>
      </c>
      <c r="C64" s="34" t="s">
        <v>26</v>
      </c>
      <c r="D64" s="34" t="s">
        <v>27</v>
      </c>
      <c r="E64" s="34">
        <v>911</v>
      </c>
      <c r="F64" s="34"/>
      <c r="G64" s="64"/>
      <c r="H64" s="35" t="str">
        <f t="shared" si="3"/>
        <v/>
      </c>
      <c r="I64" s="35" t="e">
        <f t="shared" si="8"/>
        <v>#N/A</v>
      </c>
      <c r="J64" s="41"/>
      <c r="K64" s="41"/>
      <c r="L64" s="37"/>
      <c r="M64" s="37"/>
      <c r="N64" s="38"/>
      <c r="O64" s="37">
        <f t="shared" si="1"/>
        <v>0</v>
      </c>
      <c r="P64" s="38"/>
      <c r="Q64" s="59">
        <f t="shared" si="2"/>
        <v>0</v>
      </c>
      <c r="R64" s="38"/>
      <c r="S64" s="37"/>
      <c r="T64" s="115"/>
      <c r="U64" s="38"/>
      <c r="V64" s="37">
        <f t="shared" si="4"/>
        <v>0</v>
      </c>
      <c r="W64" s="37">
        <v>0</v>
      </c>
      <c r="X64" s="37">
        <f t="shared" si="5"/>
        <v>0</v>
      </c>
    </row>
    <row r="65" spans="1:25" s="73" customFormat="1" ht="15.75" thickBot="1" x14ac:dyDescent="0.3">
      <c r="A65" s="65"/>
      <c r="B65" s="65"/>
      <c r="C65" s="65"/>
      <c r="D65" s="65"/>
      <c r="E65" s="66"/>
      <c r="F65" s="66"/>
      <c r="G65" s="67"/>
      <c r="H65" s="68"/>
      <c r="I65" s="68"/>
      <c r="J65" s="69" t="s">
        <v>127</v>
      </c>
      <c r="K65" s="69"/>
      <c r="L65" s="70">
        <f>SUM(L4:L64)</f>
        <v>277582000</v>
      </c>
      <c r="M65" s="70">
        <f>SUM(M4:M64)</f>
        <v>172000</v>
      </c>
      <c r="N65" s="70">
        <f>SUM(N4:N64)</f>
        <v>16000000</v>
      </c>
      <c r="O65" s="70">
        <f>SUM(O4:O64)</f>
        <v>293754000</v>
      </c>
      <c r="P65" s="70">
        <f>SUM(P4:P64)</f>
        <v>2600000</v>
      </c>
      <c r="Q65" s="71">
        <f t="shared" si="2"/>
        <v>18600000</v>
      </c>
      <c r="R65" s="70">
        <f>SUM(R4:R64)</f>
        <v>2073000</v>
      </c>
      <c r="S65" s="70">
        <f>SUM(S4:S64)</f>
        <v>1640000</v>
      </c>
      <c r="T65" s="70">
        <f>SUM(T4:T64)</f>
        <v>263000</v>
      </c>
      <c r="U65" s="70">
        <f>SUM(U4:U64)</f>
        <v>1075000</v>
      </c>
      <c r="V65" s="37">
        <f t="shared" si="4"/>
        <v>301405000</v>
      </c>
      <c r="W65" s="72">
        <f>SUM(W4:W64)</f>
        <v>290121000</v>
      </c>
      <c r="X65" s="72">
        <f t="shared" si="5"/>
        <v>11284000</v>
      </c>
    </row>
    <row r="66" spans="1:25" ht="15.75" thickTop="1" x14ac:dyDescent="0.25">
      <c r="A66" s="74"/>
      <c r="B66" s="74"/>
      <c r="C66" s="74"/>
      <c r="D66" s="74"/>
      <c r="E66" s="75"/>
      <c r="F66" s="76"/>
      <c r="G66" s="77"/>
      <c r="H66" s="78"/>
      <c r="I66" s="78"/>
      <c r="J66" s="79"/>
      <c r="K66" s="79"/>
      <c r="L66" s="80"/>
      <c r="M66" s="80"/>
      <c r="N66" s="80"/>
      <c r="O66" s="80"/>
      <c r="P66" s="80"/>
      <c r="Q66" s="81"/>
      <c r="R66" s="80"/>
      <c r="S66" s="80"/>
      <c r="T66" s="80"/>
      <c r="U66" s="80"/>
      <c r="V66" s="37"/>
      <c r="W66" s="80"/>
      <c r="X66" s="80"/>
    </row>
    <row r="67" spans="1:25" s="87" customFormat="1" ht="16.5" x14ac:dyDescent="0.3">
      <c r="F67" s="82">
        <v>171</v>
      </c>
      <c r="G67" s="83">
        <v>214</v>
      </c>
      <c r="H67" s="84">
        <v>411</v>
      </c>
      <c r="I67" s="84">
        <v>178</v>
      </c>
      <c r="J67" s="85" t="s">
        <v>29</v>
      </c>
      <c r="K67" s="86">
        <f>SUMIF($H$4:$H$64,"411",K$4:K$64)</f>
        <v>145</v>
      </c>
      <c r="L67" s="37">
        <f t="shared" ref="L67:L84" si="9">SUMIF($H$4:$H$64,H67,$L$4:$L$64)</f>
        <v>178719000</v>
      </c>
      <c r="M67" s="37">
        <f t="shared" ref="M67:M84" ca="1" si="10">SUMIF($H$4:$H$64,H67,$M$4:$M$60)</f>
        <v>0</v>
      </c>
      <c r="N67" s="38">
        <f>SUMIF($H$4:$H$64,H67,$N$4:$N$64)</f>
        <v>0</v>
      </c>
      <c r="O67" s="37">
        <f t="shared" ref="O67:O84" ca="1" si="11">L67+M67+N67</f>
        <v>178719000</v>
      </c>
      <c r="P67" s="38">
        <f>SUMIF($H$4:$H$64,"411",$P$4:$P$64)</f>
        <v>0</v>
      </c>
      <c r="Q67" s="59">
        <f t="shared" ref="Q67:Q85" si="12">IFERROR(N67+P67,"")</f>
        <v>0</v>
      </c>
      <c r="R67" s="38">
        <f t="shared" ref="R67:R84" si="13">SUMIF($H$4:$H$64,H67,$R$4:$R$64)</f>
        <v>1742000</v>
      </c>
      <c r="S67" s="37">
        <f>SUMIF($H$4:$H$64,"411",$S$4:$S$64)</f>
        <v>0</v>
      </c>
      <c r="T67" s="37">
        <f>SUMIF($H$4:$H$64,"411",$T$4:$T$64)</f>
        <v>93000</v>
      </c>
      <c r="U67" s="38">
        <f t="shared" ref="U67:U84" si="14">SUMIF($H$4:$H$64,H67,$U$4:$U$64)</f>
        <v>0</v>
      </c>
      <c r="V67" s="37">
        <f t="shared" ca="1" si="4"/>
        <v>180554000</v>
      </c>
      <c r="W67" s="37">
        <f>SUMIF($H$4:$H$64,"411",W$4:W$64)</f>
        <v>179250000</v>
      </c>
      <c r="X67" s="37">
        <f t="shared" ca="1" si="5"/>
        <v>1304000</v>
      </c>
    </row>
    <row r="68" spans="1:25" s="87" customFormat="1" ht="16.5" x14ac:dyDescent="0.3">
      <c r="F68" s="82">
        <v>172</v>
      </c>
      <c r="G68" s="83">
        <v>215</v>
      </c>
      <c r="H68" s="84">
        <v>412</v>
      </c>
      <c r="I68" s="84">
        <v>179</v>
      </c>
      <c r="J68" s="85" t="s">
        <v>128</v>
      </c>
      <c r="K68" s="86"/>
      <c r="L68" s="37">
        <f t="shared" si="9"/>
        <v>27076000</v>
      </c>
      <c r="M68" s="37">
        <f t="shared" ca="1" si="10"/>
        <v>0</v>
      </c>
      <c r="N68" s="38">
        <f>SUMIF($H$4:$H$64,"412",$N$4:$N$64)</f>
        <v>0</v>
      </c>
      <c r="O68" s="37">
        <f t="shared" ca="1" si="11"/>
        <v>27076000</v>
      </c>
      <c r="P68" s="38">
        <f>SUMIF($H$4:$H$64,"412",$P$4:$P$64)</f>
        <v>0</v>
      </c>
      <c r="Q68" s="59">
        <f t="shared" si="12"/>
        <v>0</v>
      </c>
      <c r="R68" s="38">
        <f t="shared" si="13"/>
        <v>279000</v>
      </c>
      <c r="S68" s="37">
        <f>SUMIF($H$4:$H$64,"412",$S$4:$S$64)</f>
        <v>0</v>
      </c>
      <c r="T68" s="37">
        <f>SUMIF($H$4:$H$64,"412",$T$4:$T$64)</f>
        <v>19000</v>
      </c>
      <c r="U68" s="38">
        <f t="shared" si="14"/>
        <v>0</v>
      </c>
      <c r="V68" s="37">
        <f t="shared" ca="1" si="4"/>
        <v>27374000</v>
      </c>
      <c r="W68" s="37">
        <f>SUMIF($H$4:$H$64,"412",W$4:W$64)</f>
        <v>27163000</v>
      </c>
      <c r="X68" s="37">
        <f t="shared" ca="1" si="5"/>
        <v>211000</v>
      </c>
      <c r="Y68" s="88">
        <f ca="1">V67+V68</f>
        <v>207928000</v>
      </c>
    </row>
    <row r="69" spans="1:25" s="87" customFormat="1" ht="16.5" x14ac:dyDescent="0.3">
      <c r="F69" s="82">
        <v>0</v>
      </c>
      <c r="G69" s="83">
        <v>216</v>
      </c>
      <c r="H69" s="84">
        <v>413</v>
      </c>
      <c r="I69" s="84">
        <v>0</v>
      </c>
      <c r="J69" s="85" t="s">
        <v>129</v>
      </c>
      <c r="K69" s="86">
        <f>SUMIF($H$4:$H$64,"413",K$4:K$64)</f>
        <v>0</v>
      </c>
      <c r="L69" s="37">
        <f t="shared" si="9"/>
        <v>0</v>
      </c>
      <c r="M69" s="37">
        <f t="shared" ca="1" si="10"/>
        <v>0</v>
      </c>
      <c r="N69" s="38">
        <f>SUMIF($H$4:$H$64,"413",$N$4:$N$64)</f>
        <v>0</v>
      </c>
      <c r="O69" s="37">
        <f t="shared" ca="1" si="11"/>
        <v>0</v>
      </c>
      <c r="P69" s="38">
        <f>SUMIF($H$4:$H$64,"413",$P$4:$P$64)</f>
        <v>0</v>
      </c>
      <c r="Q69" s="59">
        <f t="shared" si="12"/>
        <v>0</v>
      </c>
      <c r="R69" s="38">
        <f t="shared" si="13"/>
        <v>0</v>
      </c>
      <c r="S69" s="37">
        <f>SUMIF($H$4:$H$64,"413",$S$4:$S$64)</f>
        <v>0</v>
      </c>
      <c r="T69" s="37">
        <f>SUMIF($H$4:$H$64,"413",$T$4:$T$64)</f>
        <v>0</v>
      </c>
      <c r="U69" s="38">
        <f t="shared" si="14"/>
        <v>0</v>
      </c>
      <c r="V69" s="37">
        <f t="shared" ca="1" si="4"/>
        <v>0</v>
      </c>
      <c r="W69" s="37">
        <f>SUMIF($H$4:$H$64,"413",W$4:W$64)</f>
        <v>0</v>
      </c>
      <c r="X69" s="37">
        <f t="shared" ca="1" si="5"/>
        <v>0</v>
      </c>
    </row>
    <row r="70" spans="1:25" s="87" customFormat="1" ht="16.5" x14ac:dyDescent="0.3">
      <c r="F70" s="82">
        <v>173</v>
      </c>
      <c r="G70" s="83">
        <v>217</v>
      </c>
      <c r="H70" s="84">
        <v>414</v>
      </c>
      <c r="I70" s="84">
        <v>180</v>
      </c>
      <c r="J70" s="85" t="s">
        <v>130</v>
      </c>
      <c r="K70" s="86">
        <f>SUMIF($H$4:$H$64,"414",K$4:K$64)</f>
        <v>6</v>
      </c>
      <c r="L70" s="37">
        <f t="shared" si="9"/>
        <v>5973000</v>
      </c>
      <c r="M70" s="37">
        <f t="shared" ca="1" si="10"/>
        <v>0</v>
      </c>
      <c r="N70" s="38">
        <f>SUMIF($H$4:$H$64,"414",$N$4:$N$64)</f>
        <v>111000</v>
      </c>
      <c r="O70" s="37">
        <f t="shared" ca="1" si="11"/>
        <v>6084000</v>
      </c>
      <c r="P70" s="38">
        <f>SUMIF($H$4:$H$64,"414",$P$4:$P$64)</f>
        <v>0</v>
      </c>
      <c r="Q70" s="59">
        <f t="shared" si="12"/>
        <v>111000</v>
      </c>
      <c r="R70" s="38">
        <f t="shared" si="13"/>
        <v>12000</v>
      </c>
      <c r="S70" s="37">
        <f>SUMIF($H$4:$H$64,"414",$S$4:$S$64)</f>
        <v>0</v>
      </c>
      <c r="T70" s="37">
        <f>SUMIF($H$4:$H$64,"414",$T$4:$T$64)</f>
        <v>0</v>
      </c>
      <c r="U70" s="38">
        <f t="shared" si="14"/>
        <v>0</v>
      </c>
      <c r="V70" s="37">
        <f t="shared" ca="1" si="4"/>
        <v>6096000</v>
      </c>
      <c r="W70" s="37">
        <f>SUMIF($H$4:$H$64,"414",W$4:W$64)</f>
        <v>2389000</v>
      </c>
      <c r="X70" s="37">
        <f t="shared" ca="1" si="5"/>
        <v>3707000</v>
      </c>
    </row>
    <row r="71" spans="1:25" s="87" customFormat="1" ht="16.5" x14ac:dyDescent="0.3">
      <c r="F71" s="82">
        <v>175</v>
      </c>
      <c r="G71" s="83">
        <v>218</v>
      </c>
      <c r="H71" s="84">
        <v>415</v>
      </c>
      <c r="I71" s="84">
        <v>181</v>
      </c>
      <c r="J71" s="85" t="s">
        <v>40</v>
      </c>
      <c r="K71" s="86"/>
      <c r="L71" s="37">
        <f t="shared" si="9"/>
        <v>7000000</v>
      </c>
      <c r="M71" s="37">
        <f t="shared" ca="1" si="10"/>
        <v>0</v>
      </c>
      <c r="N71" s="38">
        <f>SUMIF($H$4:$H$64,"415",$N$4:$N$64)</f>
        <v>0</v>
      </c>
      <c r="O71" s="37">
        <f t="shared" ca="1" si="11"/>
        <v>7000000</v>
      </c>
      <c r="P71" s="38">
        <f>SUMIF($H$4:$H$64,"415",$P$4:$P$64)</f>
        <v>0</v>
      </c>
      <c r="Q71" s="59">
        <f t="shared" si="12"/>
        <v>0</v>
      </c>
      <c r="R71" s="38">
        <f t="shared" si="13"/>
        <v>0</v>
      </c>
      <c r="S71" s="37">
        <f>SUMIF($H$4:$H$64,"415",$S$4:$S$64)</f>
        <v>0</v>
      </c>
      <c r="T71" s="37">
        <f>SUMIF($H$4:$H$64,"415",$T$4:$T$64)</f>
        <v>0</v>
      </c>
      <c r="U71" s="38">
        <f t="shared" si="14"/>
        <v>0</v>
      </c>
      <c r="V71" s="37">
        <f t="shared" ref="V71:V91" ca="1" si="15">IFERROR(L71+M71+Q71+R71+S71+T71+U71,"")</f>
        <v>7000000</v>
      </c>
      <c r="W71" s="37">
        <f>SUMIF($H$4:$H$64,"415",W$4:W$64)</f>
        <v>7000000</v>
      </c>
      <c r="X71" s="37">
        <f t="shared" ca="1" si="5"/>
        <v>0</v>
      </c>
    </row>
    <row r="72" spans="1:25" s="87" customFormat="1" ht="16.5" x14ac:dyDescent="0.3">
      <c r="F72" s="82">
        <v>175</v>
      </c>
      <c r="G72" s="83">
        <v>219</v>
      </c>
      <c r="H72" s="84">
        <v>416</v>
      </c>
      <c r="I72" s="84">
        <v>182</v>
      </c>
      <c r="J72" s="85" t="s">
        <v>42</v>
      </c>
      <c r="K72" s="86">
        <f>SUMIF($H$4:$H$64,"416",K$4:K$64)</f>
        <v>0</v>
      </c>
      <c r="L72" s="37">
        <f t="shared" si="9"/>
        <v>5300000</v>
      </c>
      <c r="M72" s="37">
        <f t="shared" ca="1" si="10"/>
        <v>0</v>
      </c>
      <c r="N72" s="38">
        <f>SUMIF($H$4:$H$64,"416",$N$4:$N$64)</f>
        <v>500000</v>
      </c>
      <c r="O72" s="37">
        <f t="shared" ca="1" si="11"/>
        <v>5800000</v>
      </c>
      <c r="P72" s="38">
        <f>SUMIF($H$4:$H$64,"416",$P$4:$P$64)</f>
        <v>0</v>
      </c>
      <c r="Q72" s="59">
        <f t="shared" si="12"/>
        <v>500000</v>
      </c>
      <c r="R72" s="38">
        <f t="shared" si="13"/>
        <v>0</v>
      </c>
      <c r="S72" s="37">
        <f>SUMIF($H$4:$H$64,"416",$S$4:$S$64)</f>
        <v>0</v>
      </c>
      <c r="T72" s="37">
        <f>SUMIF($H$4:$H$64,"416",$T$4:$T$64)</f>
        <v>0</v>
      </c>
      <c r="U72" s="38">
        <f t="shared" si="14"/>
        <v>0</v>
      </c>
      <c r="V72" s="37">
        <f t="shared" ca="1" si="15"/>
        <v>5800000</v>
      </c>
      <c r="W72" s="37">
        <f>SUMIF($H$4:$H$64,"416",W$4:W$64)</f>
        <v>3850000</v>
      </c>
      <c r="X72" s="37">
        <f t="shared" ca="1" si="5"/>
        <v>1950000</v>
      </c>
    </row>
    <row r="73" spans="1:25" s="87" customFormat="1" ht="16.5" x14ac:dyDescent="0.3">
      <c r="F73" s="82">
        <v>176</v>
      </c>
      <c r="G73" s="83">
        <v>220</v>
      </c>
      <c r="H73" s="84">
        <v>421</v>
      </c>
      <c r="I73" s="84">
        <v>183</v>
      </c>
      <c r="J73" s="85" t="s">
        <v>131</v>
      </c>
      <c r="K73" s="86"/>
      <c r="L73" s="37">
        <f t="shared" si="9"/>
        <v>11175000</v>
      </c>
      <c r="M73" s="37">
        <f t="shared" ca="1" si="10"/>
        <v>0</v>
      </c>
      <c r="N73" s="38">
        <f>SUMIF($H$4:$H$64,"421",$N$4:$N$64)</f>
        <v>3020000</v>
      </c>
      <c r="O73" s="37">
        <f t="shared" ca="1" si="11"/>
        <v>14195000</v>
      </c>
      <c r="P73" s="38">
        <f>SUMIF($H$4:$H$64,"421",$P$4:$P$64)</f>
        <v>325000</v>
      </c>
      <c r="Q73" s="59">
        <f t="shared" si="12"/>
        <v>3345000</v>
      </c>
      <c r="R73" s="38">
        <f t="shared" si="13"/>
        <v>0</v>
      </c>
      <c r="S73" s="37">
        <f>SUMIF($H$4:$H$64,"421",$S$4:$S$64)</f>
        <v>300000</v>
      </c>
      <c r="T73" s="37">
        <f>SUMIF($H$4:$H$64,"421",$T$4:$T$64)</f>
        <v>0</v>
      </c>
      <c r="U73" s="38">
        <f t="shared" si="14"/>
        <v>506000</v>
      </c>
      <c r="V73" s="37">
        <f t="shared" ca="1" si="15"/>
        <v>15326000</v>
      </c>
      <c r="W73" s="37">
        <f>SUMIF($H$4:$H$64,"421",W$4:W$64)</f>
        <v>19628000</v>
      </c>
      <c r="X73" s="37">
        <f t="shared" ca="1" si="5"/>
        <v>-4302000</v>
      </c>
    </row>
    <row r="74" spans="1:25" s="87" customFormat="1" ht="16.5" x14ac:dyDescent="0.3">
      <c r="F74" s="82">
        <v>177</v>
      </c>
      <c r="G74" s="83">
        <v>221</v>
      </c>
      <c r="H74" s="84">
        <v>422</v>
      </c>
      <c r="I74" s="84">
        <v>184</v>
      </c>
      <c r="J74" s="85" t="s">
        <v>132</v>
      </c>
      <c r="K74" s="86"/>
      <c r="L74" s="37">
        <f t="shared" si="9"/>
        <v>180000</v>
      </c>
      <c r="M74" s="37">
        <f t="shared" ca="1" si="10"/>
        <v>0</v>
      </c>
      <c r="N74" s="38">
        <f>SUMIF($H$4:$H$64,"422",$N$4:$N$64)</f>
        <v>720000</v>
      </c>
      <c r="O74" s="37">
        <f t="shared" ca="1" si="11"/>
        <v>900000</v>
      </c>
      <c r="P74" s="38">
        <f>SUMIF($H$4:$H$64,"422",$P$4:$P$64)</f>
        <v>270000</v>
      </c>
      <c r="Q74" s="59">
        <f t="shared" si="12"/>
        <v>990000</v>
      </c>
      <c r="R74" s="38">
        <f t="shared" si="13"/>
        <v>0</v>
      </c>
      <c r="S74" s="37">
        <f>SUMIF($H$4:$H$64,"422",$S$4:$S$64)</f>
        <v>200000</v>
      </c>
      <c r="T74" s="37">
        <f>SUMIF($H$4:$H$64,"422",$T$4:$T$64)</f>
        <v>0</v>
      </c>
      <c r="U74" s="38">
        <f t="shared" si="14"/>
        <v>0</v>
      </c>
      <c r="V74" s="37">
        <f t="shared" ca="1" si="15"/>
        <v>1370000</v>
      </c>
      <c r="W74" s="37">
        <f>SUMIF($H$4:$H$64,"422",W$4:W$64)</f>
        <v>1170000</v>
      </c>
      <c r="X74" s="37">
        <f t="shared" ca="1" si="5"/>
        <v>200000</v>
      </c>
    </row>
    <row r="75" spans="1:25" s="87" customFormat="1" ht="16.5" x14ac:dyDescent="0.3">
      <c r="F75" s="82">
        <v>178</v>
      </c>
      <c r="G75" s="83">
        <v>222</v>
      </c>
      <c r="H75" s="84">
        <v>423</v>
      </c>
      <c r="I75" s="84">
        <v>185</v>
      </c>
      <c r="J75" s="85" t="s">
        <v>133</v>
      </c>
      <c r="K75" s="86"/>
      <c r="L75" s="37">
        <f t="shared" si="9"/>
        <v>6268000</v>
      </c>
      <c r="M75" s="37">
        <f t="shared" ca="1" si="10"/>
        <v>0</v>
      </c>
      <c r="N75" s="38">
        <f>SUMIF($H$4:$H$64,"423",$N$4:$N$64)</f>
        <v>1625000</v>
      </c>
      <c r="O75" s="37">
        <f t="shared" ca="1" si="11"/>
        <v>7893000</v>
      </c>
      <c r="P75" s="38">
        <f>SUMIF($H$4:$H$64,"423",$P$4:$P$64)</f>
        <v>455000</v>
      </c>
      <c r="Q75" s="59">
        <f t="shared" si="12"/>
        <v>2080000</v>
      </c>
      <c r="R75" s="38">
        <f t="shared" si="13"/>
        <v>0</v>
      </c>
      <c r="S75" s="37">
        <f>SUMIF($H$4:$H$64,"423",$S$4:$S$64)</f>
        <v>1115000</v>
      </c>
      <c r="T75" s="37">
        <f>SUMIF($H$4:$H$64,"423",$T$4:$T$64)</f>
        <v>0</v>
      </c>
      <c r="U75" s="38">
        <f t="shared" si="14"/>
        <v>0</v>
      </c>
      <c r="V75" s="37">
        <f t="shared" ca="1" si="15"/>
        <v>9463000</v>
      </c>
      <c r="W75" s="37">
        <f>SUMIF($H$4:$H$64,"423",W$4:W$64)</f>
        <v>8356000</v>
      </c>
      <c r="X75" s="37">
        <f t="shared" ref="X75:X85" ca="1" si="16">V75-W75</f>
        <v>1107000</v>
      </c>
    </row>
    <row r="76" spans="1:25" s="87" customFormat="1" ht="16.5" x14ac:dyDescent="0.3">
      <c r="F76" s="82">
        <v>179</v>
      </c>
      <c r="G76" s="83">
        <v>223</v>
      </c>
      <c r="H76" s="84">
        <v>424</v>
      </c>
      <c r="I76" s="84">
        <v>186</v>
      </c>
      <c r="J76" s="85" t="s">
        <v>134</v>
      </c>
      <c r="K76" s="86"/>
      <c r="L76" s="37">
        <f t="shared" si="9"/>
        <v>680000</v>
      </c>
      <c r="M76" s="37">
        <f t="shared" ca="1" si="10"/>
        <v>0</v>
      </c>
      <c r="N76" s="38">
        <f>SUMIF($H$4:$H$64,"424",$N$4:$N$64)</f>
        <v>200000</v>
      </c>
      <c r="O76" s="37">
        <f t="shared" ca="1" si="11"/>
        <v>880000</v>
      </c>
      <c r="P76" s="38">
        <f>SUMIF($H$4:$H$64,"424",$P$4:$P$64)</f>
        <v>20000</v>
      </c>
      <c r="Q76" s="59">
        <f t="shared" si="12"/>
        <v>220000</v>
      </c>
      <c r="R76" s="38">
        <f t="shared" si="13"/>
        <v>0</v>
      </c>
      <c r="S76" s="37">
        <f>SUMIF($H$4:$H$64,"424",$S$4:$S$64)</f>
        <v>0</v>
      </c>
      <c r="T76" s="37">
        <f>SUMIF($H$4:$H$64,"424",$T$4:$T$64)</f>
        <v>0</v>
      </c>
      <c r="U76" s="38">
        <f t="shared" si="14"/>
        <v>0</v>
      </c>
      <c r="V76" s="37">
        <f t="shared" ca="1" si="15"/>
        <v>900000</v>
      </c>
      <c r="W76" s="37">
        <f>SUMIF($H$4:$H$64,"424",W$4:W$64)</f>
        <v>829000</v>
      </c>
      <c r="X76" s="37">
        <f t="shared" ca="1" si="16"/>
        <v>71000</v>
      </c>
    </row>
    <row r="77" spans="1:25" s="87" customFormat="1" ht="16.5" x14ac:dyDescent="0.3">
      <c r="F77" s="82">
        <v>180</v>
      </c>
      <c r="G77" s="83">
        <v>224</v>
      </c>
      <c r="H77" s="84">
        <v>425</v>
      </c>
      <c r="I77" s="84">
        <v>187</v>
      </c>
      <c r="J77" s="85" t="s">
        <v>135</v>
      </c>
      <c r="K77" s="86"/>
      <c r="L77" s="37">
        <f t="shared" si="9"/>
        <v>6630000</v>
      </c>
      <c r="M77" s="37">
        <f t="shared" ca="1" si="10"/>
        <v>0</v>
      </c>
      <c r="N77" s="38">
        <f>SUMIF($H$4:$H$64,"425",$N$4:$N$64)</f>
        <v>0</v>
      </c>
      <c r="O77" s="37">
        <f t="shared" ca="1" si="11"/>
        <v>6630000</v>
      </c>
      <c r="P77" s="38">
        <f>SUMIF($H$4:$H$64,"425",$P$4:$P$64)</f>
        <v>0</v>
      </c>
      <c r="Q77" s="59">
        <f t="shared" si="12"/>
        <v>0</v>
      </c>
      <c r="R77" s="38">
        <f t="shared" si="13"/>
        <v>0</v>
      </c>
      <c r="S77" s="37">
        <f>SUMIF($H$4:$H$64,"425",$S$4:$S$64)</f>
        <v>0</v>
      </c>
      <c r="T77" s="37">
        <f>SUMIF($H$4:$H$64,"425",$T$4:$T$64)</f>
        <v>0</v>
      </c>
      <c r="U77" s="38">
        <f t="shared" si="14"/>
        <v>0</v>
      </c>
      <c r="V77" s="37">
        <f t="shared" ca="1" si="15"/>
        <v>6630000</v>
      </c>
      <c r="W77" s="37">
        <f>SUMIF($H$4:$H$64,"425",W$4:W$64)</f>
        <v>4516000</v>
      </c>
      <c r="X77" s="37">
        <f t="shared" ca="1" si="16"/>
        <v>2114000</v>
      </c>
    </row>
    <row r="78" spans="1:25" s="87" customFormat="1" ht="16.5" x14ac:dyDescent="0.3">
      <c r="F78" s="82">
        <v>181</v>
      </c>
      <c r="G78" s="83">
        <v>225</v>
      </c>
      <c r="H78" s="84">
        <v>426</v>
      </c>
      <c r="I78" s="84">
        <v>188</v>
      </c>
      <c r="J78" s="85" t="s">
        <v>136</v>
      </c>
      <c r="K78" s="86"/>
      <c r="L78" s="37">
        <f t="shared" si="9"/>
        <v>21185000</v>
      </c>
      <c r="M78" s="37">
        <f t="shared" ca="1" si="10"/>
        <v>0</v>
      </c>
      <c r="N78" s="38">
        <f>SUMIF($H$4:$H$64,"426",$N$4:$N$64)</f>
        <v>8698000</v>
      </c>
      <c r="O78" s="37">
        <f t="shared" ca="1" si="11"/>
        <v>29883000</v>
      </c>
      <c r="P78" s="38">
        <f>SUMIF($H$4:$H$64,"426",$P$4:$P$64)</f>
        <v>1485000</v>
      </c>
      <c r="Q78" s="59">
        <f t="shared" si="12"/>
        <v>10183000</v>
      </c>
      <c r="R78" s="38">
        <f t="shared" si="13"/>
        <v>40000</v>
      </c>
      <c r="S78" s="37">
        <f>SUMIF($H$4:$H$64,"426",$S$4:$S$64)</f>
        <v>25000</v>
      </c>
      <c r="T78" s="37">
        <f>SUMIF($H$4:$H$64,"426",$T$4:$T$64)</f>
        <v>151000</v>
      </c>
      <c r="U78" s="38">
        <f t="shared" si="14"/>
        <v>569000</v>
      </c>
      <c r="V78" s="37">
        <f t="shared" ca="1" si="15"/>
        <v>32153000</v>
      </c>
      <c r="W78" s="37">
        <f>SUMIF($H$4:$H$64,"426",W$4:W$64)</f>
        <v>32060000</v>
      </c>
      <c r="X78" s="37">
        <f t="shared" ca="1" si="16"/>
        <v>93000</v>
      </c>
    </row>
    <row r="79" spans="1:25" s="87" customFormat="1" ht="16.5" x14ac:dyDescent="0.3">
      <c r="F79" s="82">
        <v>182</v>
      </c>
      <c r="G79" s="83"/>
      <c r="H79" s="84">
        <v>465</v>
      </c>
      <c r="I79" s="84">
        <v>189</v>
      </c>
      <c r="J79" s="85" t="s">
        <v>137</v>
      </c>
      <c r="K79" s="86"/>
      <c r="L79" s="37">
        <f t="shared" si="9"/>
        <v>2460000</v>
      </c>
      <c r="M79" s="37">
        <f t="shared" ca="1" si="10"/>
        <v>0</v>
      </c>
      <c r="N79" s="38">
        <f>SUMIF($H$4:$H$64,"465",$N$4:$N$64)</f>
        <v>340000</v>
      </c>
      <c r="O79" s="37">
        <f t="shared" ca="1" si="11"/>
        <v>2800000</v>
      </c>
      <c r="P79" s="38">
        <f>SUMIF($H$4:$H$64,"465",$P$4:$P$64)</f>
        <v>0</v>
      </c>
      <c r="Q79" s="59">
        <f t="shared" si="12"/>
        <v>340000</v>
      </c>
      <c r="R79" s="38">
        <f t="shared" si="13"/>
        <v>0</v>
      </c>
      <c r="S79" s="37">
        <f>SUMIF($H$4:$H$64,"465",$S$4:$S$64)</f>
        <v>0</v>
      </c>
      <c r="T79" s="37">
        <f>SUMIF($H$4:$H$64,"465",$T$4:$T$64)</f>
        <v>0</v>
      </c>
      <c r="U79" s="38">
        <f t="shared" si="14"/>
        <v>0</v>
      </c>
      <c r="V79" s="37">
        <f t="shared" ca="1" si="15"/>
        <v>2800000</v>
      </c>
      <c r="W79" s="37">
        <f>SUMIF($H$4:$H$64,"465",W$4:W$64)</f>
        <v>2060000</v>
      </c>
      <c r="X79" s="37">
        <f t="shared" ca="1" si="16"/>
        <v>740000</v>
      </c>
    </row>
    <row r="80" spans="1:25" s="87" customFormat="1" ht="16.5" x14ac:dyDescent="0.3">
      <c r="F80" s="82">
        <v>183</v>
      </c>
      <c r="G80" s="83">
        <v>226</v>
      </c>
      <c r="H80" s="84">
        <v>482</v>
      </c>
      <c r="I80" s="84">
        <v>190</v>
      </c>
      <c r="J80" s="85" t="s">
        <v>138</v>
      </c>
      <c r="K80" s="86"/>
      <c r="L80" s="37">
        <f t="shared" si="9"/>
        <v>150000</v>
      </c>
      <c r="M80" s="37">
        <f t="shared" ca="1" si="10"/>
        <v>0</v>
      </c>
      <c r="N80" s="38">
        <f>SUMIF($H$4:$H$64,"482",$N$4:$N$64)</f>
        <v>45000</v>
      </c>
      <c r="O80" s="37">
        <f t="shared" ca="1" si="11"/>
        <v>195000</v>
      </c>
      <c r="P80" s="38">
        <f>SUMIF($H$4:$H$64,"482",$P$4:$P$64)</f>
        <v>45000</v>
      </c>
      <c r="Q80" s="59">
        <f t="shared" si="12"/>
        <v>90000</v>
      </c>
      <c r="R80" s="38">
        <f t="shared" si="13"/>
        <v>0</v>
      </c>
      <c r="S80" s="37">
        <f>SUMIF($H$4:$H$64,"482",$S$4:$S$64)</f>
        <v>0</v>
      </c>
      <c r="T80" s="37">
        <f>SUMIF($H$4:$H$64,"482",$T$4:$T$64)</f>
        <v>0</v>
      </c>
      <c r="U80" s="38">
        <f t="shared" si="14"/>
        <v>0</v>
      </c>
      <c r="V80" s="37">
        <f t="shared" ca="1" si="15"/>
        <v>240000</v>
      </c>
      <c r="W80" s="37">
        <f>SUMIF($H$4:$H$64,"482",W$4:W$64)</f>
        <v>240000</v>
      </c>
      <c r="X80" s="37">
        <f t="shared" ca="1" si="16"/>
        <v>0</v>
      </c>
    </row>
    <row r="81" spans="6:24" s="87" customFormat="1" ht="16.5" x14ac:dyDescent="0.3">
      <c r="F81" s="82">
        <f>G81-I81</f>
        <v>0</v>
      </c>
      <c r="G81" s="83"/>
      <c r="H81" s="84">
        <v>483</v>
      </c>
      <c r="I81" s="84">
        <v>0</v>
      </c>
      <c r="J81" s="85" t="s">
        <v>114</v>
      </c>
      <c r="K81" s="86"/>
      <c r="L81" s="37">
        <f t="shared" si="9"/>
        <v>0</v>
      </c>
      <c r="M81" s="37">
        <f t="shared" ca="1" si="10"/>
        <v>0</v>
      </c>
      <c r="N81" s="38">
        <f>SUMIF($H$4:$H$64,"483",$N$4:$N$64)</f>
        <v>0</v>
      </c>
      <c r="O81" s="37">
        <f t="shared" ca="1" si="11"/>
        <v>0</v>
      </c>
      <c r="P81" s="38">
        <f>SUMIF($H$4:$H$64,"483",$P$4:$P$64)</f>
        <v>0</v>
      </c>
      <c r="Q81" s="59">
        <f t="shared" si="12"/>
        <v>0</v>
      </c>
      <c r="R81" s="38">
        <f t="shared" si="13"/>
        <v>0</v>
      </c>
      <c r="S81" s="37">
        <f>SUMIF($H$4:$H$64,"483",$S$4:$S$64)</f>
        <v>0</v>
      </c>
      <c r="T81" s="37">
        <f>SUMIF($H$4:$H$64,"483",$T$4:$T$64)</f>
        <v>0</v>
      </c>
      <c r="U81" s="38">
        <f t="shared" si="14"/>
        <v>0</v>
      </c>
      <c r="V81" s="37">
        <f t="shared" ca="1" si="15"/>
        <v>0</v>
      </c>
      <c r="W81" s="37">
        <f>SUMIF($H$4:$H$64,"483",W$4:W$64)</f>
        <v>0</v>
      </c>
      <c r="X81" s="37">
        <f t="shared" ca="1" si="16"/>
        <v>0</v>
      </c>
    </row>
    <row r="82" spans="6:24" s="87" customFormat="1" ht="16.5" x14ac:dyDescent="0.3">
      <c r="F82" s="82">
        <f>G82-I82</f>
        <v>0</v>
      </c>
      <c r="G82" s="83"/>
      <c r="H82" s="84">
        <v>485</v>
      </c>
      <c r="I82" s="84">
        <v>0</v>
      </c>
      <c r="J82" s="85" t="s">
        <v>139</v>
      </c>
      <c r="K82" s="86"/>
      <c r="L82" s="37">
        <f t="shared" si="9"/>
        <v>237000</v>
      </c>
      <c r="M82" s="37">
        <f t="shared" ca="1" si="10"/>
        <v>172000</v>
      </c>
      <c r="N82" s="38">
        <f>SUMIF($H$4:$H$64,"485",$N$4:$N$64)</f>
        <v>0</v>
      </c>
      <c r="O82" s="37">
        <f t="shared" ca="1" si="11"/>
        <v>409000</v>
      </c>
      <c r="P82" s="38">
        <f>SUMIF($H$4:$H$64,"485",$P$4:$P$64)</f>
        <v>0</v>
      </c>
      <c r="Q82" s="59">
        <f t="shared" si="12"/>
        <v>0</v>
      </c>
      <c r="R82" s="38">
        <f t="shared" si="13"/>
        <v>0</v>
      </c>
      <c r="S82" s="37">
        <f>SUMIF($H$4:$H$64,"485",$S$4:$S$64)</f>
        <v>0</v>
      </c>
      <c r="T82" s="37">
        <f>SUMIF($H$4:$H$64,"485",$T$4:$T$64)</f>
        <v>0</v>
      </c>
      <c r="U82" s="38">
        <f t="shared" si="14"/>
        <v>0</v>
      </c>
      <c r="V82" s="37">
        <f t="shared" ca="1" si="15"/>
        <v>409000</v>
      </c>
      <c r="W82" s="37">
        <f>SUMIF($H$4:$H$64,"485",W$4:W$64)</f>
        <v>0</v>
      </c>
      <c r="X82" s="37">
        <f t="shared" ca="1" si="16"/>
        <v>409000</v>
      </c>
    </row>
    <row r="83" spans="6:24" s="87" customFormat="1" ht="16.5" x14ac:dyDescent="0.3">
      <c r="F83" s="82">
        <f>G83-I83</f>
        <v>0</v>
      </c>
      <c r="G83" s="83"/>
      <c r="H83" s="84">
        <v>511</v>
      </c>
      <c r="I83" s="84">
        <v>0</v>
      </c>
      <c r="J83" s="85" t="s">
        <v>140</v>
      </c>
      <c r="K83" s="86"/>
      <c r="L83" s="37">
        <f t="shared" si="9"/>
        <v>2160000</v>
      </c>
      <c r="M83" s="37">
        <f t="shared" ca="1" si="10"/>
        <v>0</v>
      </c>
      <c r="N83" s="38">
        <f>SUMIF($H$4:$H$64,"511",$N$4:$N$64)</f>
        <v>0</v>
      </c>
      <c r="O83" s="37">
        <f t="shared" ca="1" si="11"/>
        <v>2160000</v>
      </c>
      <c r="P83" s="38">
        <f>SUMIF($H$4:$H$64,"511",$P$4:$P$64)</f>
        <v>0</v>
      </c>
      <c r="Q83" s="59">
        <f t="shared" si="12"/>
        <v>0</v>
      </c>
      <c r="R83" s="38">
        <f t="shared" si="13"/>
        <v>0</v>
      </c>
      <c r="S83" s="37">
        <f>SUMIF($H$4:$H$64,"511",$S$4:$S$64)</f>
        <v>0</v>
      </c>
      <c r="T83" s="37">
        <f>SUMIF($H$4:$H$64,"511",$T$4:$T$64)</f>
        <v>0</v>
      </c>
      <c r="U83" s="38">
        <f t="shared" si="14"/>
        <v>0</v>
      </c>
      <c r="V83" s="37">
        <f t="shared" ca="1" si="15"/>
        <v>2160000</v>
      </c>
      <c r="W83" s="37">
        <f>SUMIF($H$4:$H$64,"511",W$4:W$64)</f>
        <v>0</v>
      </c>
      <c r="X83" s="37">
        <f t="shared" ca="1" si="16"/>
        <v>2160000</v>
      </c>
    </row>
    <row r="84" spans="6:24" s="87" customFormat="1" ht="16.5" x14ac:dyDescent="0.3">
      <c r="F84" s="82">
        <v>184</v>
      </c>
      <c r="G84" s="83">
        <v>227</v>
      </c>
      <c r="H84" s="84">
        <v>512</v>
      </c>
      <c r="I84" s="84">
        <v>191</v>
      </c>
      <c r="J84" s="85" t="s">
        <v>141</v>
      </c>
      <c r="K84" s="86"/>
      <c r="L84" s="37">
        <f t="shared" si="9"/>
        <v>2389000</v>
      </c>
      <c r="M84" s="37">
        <f t="shared" ca="1" si="10"/>
        <v>0</v>
      </c>
      <c r="N84" s="38">
        <f>SUMIF($H$4:$H$64,"512",$N$4:$N$64)</f>
        <v>741000</v>
      </c>
      <c r="O84" s="37">
        <f t="shared" ca="1" si="11"/>
        <v>3130000</v>
      </c>
      <c r="P84" s="38">
        <f>SUMIF($H$4:$H$64,"512",$P$4:$P$64)</f>
        <v>0</v>
      </c>
      <c r="Q84" s="59">
        <f t="shared" si="12"/>
        <v>741000</v>
      </c>
      <c r="R84" s="38">
        <f t="shared" si="13"/>
        <v>0</v>
      </c>
      <c r="S84" s="37">
        <f>SUMIF($H$4:$H$64,"512",$S$4:$S$64)</f>
        <v>0</v>
      </c>
      <c r="T84" s="37">
        <f>SUMIF($H$4:$H$64,"512",$T$4:$T$64)</f>
        <v>0</v>
      </c>
      <c r="U84" s="38">
        <f t="shared" si="14"/>
        <v>0</v>
      </c>
      <c r="V84" s="37">
        <f t="shared" ca="1" si="15"/>
        <v>3130000</v>
      </c>
      <c r="W84" s="37">
        <f>SUMIF($H$4:$H$64,"512",W$4:W$64)</f>
        <v>1610000</v>
      </c>
      <c r="X84" s="37">
        <f t="shared" ca="1" si="16"/>
        <v>1520000</v>
      </c>
    </row>
    <row r="85" spans="6:24" s="87" customFormat="1" ht="17.25" thickBot="1" x14ac:dyDescent="0.35">
      <c r="F85" s="89"/>
      <c r="G85" s="89"/>
      <c r="H85" s="90"/>
      <c r="I85" s="90"/>
      <c r="J85" s="90" t="s">
        <v>127</v>
      </c>
      <c r="K85" s="90"/>
      <c r="L85" s="72">
        <f>SUM(L67:L84)</f>
        <v>277582000</v>
      </c>
      <c r="M85" s="72">
        <f ca="1">SUM(M67:M84)</f>
        <v>172000</v>
      </c>
      <c r="N85" s="72">
        <f>SUM(N67:N84)</f>
        <v>16000000</v>
      </c>
      <c r="O85" s="72">
        <f ca="1">SUM(O67:O84)</f>
        <v>293754000</v>
      </c>
      <c r="P85" s="72">
        <f>SUM(P67:P84)</f>
        <v>2600000</v>
      </c>
      <c r="Q85" s="91">
        <f t="shared" si="12"/>
        <v>18600000</v>
      </c>
      <c r="R85" s="72">
        <f>SUM(R67:R84)</f>
        <v>2073000</v>
      </c>
      <c r="S85" s="72">
        <f>SUM(S67:S84)</f>
        <v>1640000</v>
      </c>
      <c r="T85" s="72">
        <f>SUM(T67:T84)</f>
        <v>263000</v>
      </c>
      <c r="U85" s="72">
        <f>SUM(U67:U84)</f>
        <v>1075000</v>
      </c>
      <c r="V85" s="37">
        <f t="shared" ca="1" si="15"/>
        <v>301405000</v>
      </c>
      <c r="W85" s="72">
        <f>SUM(W67:W84)</f>
        <v>290121000</v>
      </c>
      <c r="X85" s="72">
        <f t="shared" ca="1" si="16"/>
        <v>11284000</v>
      </c>
    </row>
    <row r="86" spans="6:24" ht="15.75" thickTop="1" x14ac:dyDescent="0.25">
      <c r="L86" s="92">
        <f>L65-L85</f>
        <v>0</v>
      </c>
      <c r="M86" s="92">
        <f ca="1">M65-M85</f>
        <v>0</v>
      </c>
      <c r="N86" s="92">
        <f t="shared" ref="N86:W86" si="17">N65-N85</f>
        <v>0</v>
      </c>
      <c r="O86" s="92">
        <f t="shared" ca="1" si="17"/>
        <v>0</v>
      </c>
      <c r="P86" s="92">
        <f t="shared" si="17"/>
        <v>0</v>
      </c>
      <c r="Q86" s="92">
        <f>Q65-Q85</f>
        <v>0</v>
      </c>
      <c r="R86" s="92">
        <f>R65-R85</f>
        <v>0</v>
      </c>
      <c r="S86" s="92">
        <f t="shared" si="17"/>
        <v>0</v>
      </c>
      <c r="T86" s="92">
        <f t="shared" si="17"/>
        <v>0</v>
      </c>
      <c r="U86" s="92">
        <f>U65-U85</f>
        <v>0</v>
      </c>
      <c r="V86" s="92">
        <f t="shared" ca="1" si="15"/>
        <v>0</v>
      </c>
      <c r="W86" s="92">
        <f t="shared" si="17"/>
        <v>0</v>
      </c>
      <c r="X86" s="92"/>
    </row>
    <row r="87" spans="6:24" x14ac:dyDescent="0.25">
      <c r="L87" s="92">
        <v>0</v>
      </c>
      <c r="M87" s="92">
        <v>0</v>
      </c>
      <c r="N87" s="92"/>
      <c r="O87" s="93"/>
      <c r="P87" s="92"/>
      <c r="Q87" s="92">
        <v>0</v>
      </c>
      <c r="R87" s="92"/>
      <c r="S87" s="92">
        <v>0</v>
      </c>
      <c r="T87" s="92">
        <v>0</v>
      </c>
      <c r="U87" s="92">
        <v>0</v>
      </c>
      <c r="V87" s="92">
        <f t="shared" si="15"/>
        <v>0</v>
      </c>
      <c r="W87" s="92">
        <v>0</v>
      </c>
      <c r="X87" s="92"/>
    </row>
    <row r="88" spans="6:24" s="87" customFormat="1" ht="16.5" x14ac:dyDescent="0.3">
      <c r="F88" s="86"/>
      <c r="G88" s="86"/>
      <c r="H88" s="86">
        <v>4</v>
      </c>
      <c r="I88" s="86"/>
      <c r="J88" s="86" t="s">
        <v>142</v>
      </c>
      <c r="K88" s="86"/>
      <c r="L88" s="37">
        <f>SUM(L67:L82)</f>
        <v>273033000</v>
      </c>
      <c r="M88" s="37">
        <f t="shared" ref="M88:X88" ca="1" si="18">SUM(M67:M82)</f>
        <v>172000</v>
      </c>
      <c r="N88" s="38">
        <f t="shared" si="18"/>
        <v>15259000</v>
      </c>
      <c r="O88" s="37">
        <f ca="1">SUM(O67:O82)</f>
        <v>288464000</v>
      </c>
      <c r="P88" s="38">
        <f t="shared" si="18"/>
        <v>2600000</v>
      </c>
      <c r="Q88" s="59">
        <f t="shared" si="18"/>
        <v>17859000</v>
      </c>
      <c r="R88" s="38">
        <f>SUM(R67:R82)</f>
        <v>2073000</v>
      </c>
      <c r="S88" s="37">
        <f t="shared" si="18"/>
        <v>1640000</v>
      </c>
      <c r="T88" s="37">
        <f t="shared" si="18"/>
        <v>263000</v>
      </c>
      <c r="U88" s="38">
        <f>SUM(U67:U82)</f>
        <v>1075000</v>
      </c>
      <c r="V88" s="37">
        <f t="shared" ca="1" si="15"/>
        <v>296115000</v>
      </c>
      <c r="W88" s="37">
        <f t="shared" si="18"/>
        <v>288511000</v>
      </c>
      <c r="X88" s="37">
        <f t="shared" ca="1" si="18"/>
        <v>7604000</v>
      </c>
    </row>
    <row r="89" spans="6:24" s="87" customFormat="1" ht="16.5" x14ac:dyDescent="0.3">
      <c r="F89" s="86"/>
      <c r="G89" s="86"/>
      <c r="H89" s="86">
        <v>5</v>
      </c>
      <c r="I89" s="86"/>
      <c r="J89" s="86" t="s">
        <v>143</v>
      </c>
      <c r="K89" s="86"/>
      <c r="L89" s="37">
        <f>SUM(L83:L84)</f>
        <v>4549000</v>
      </c>
      <c r="M89" s="37">
        <f t="shared" ref="M89:X89" ca="1" si="19">SUM(M83:M84)</f>
        <v>0</v>
      </c>
      <c r="N89" s="38">
        <f t="shared" si="19"/>
        <v>741000</v>
      </c>
      <c r="O89" s="37">
        <f t="shared" ca="1" si="19"/>
        <v>5290000</v>
      </c>
      <c r="P89" s="38">
        <f t="shared" si="19"/>
        <v>0</v>
      </c>
      <c r="Q89" s="59">
        <f t="shared" si="19"/>
        <v>741000</v>
      </c>
      <c r="R89" s="38">
        <f>SUM(R83:R84)</f>
        <v>0</v>
      </c>
      <c r="S89" s="37">
        <f t="shared" si="19"/>
        <v>0</v>
      </c>
      <c r="T89" s="37">
        <f t="shared" si="19"/>
        <v>0</v>
      </c>
      <c r="U89" s="38">
        <f>SUM(U83:U84)</f>
        <v>0</v>
      </c>
      <c r="V89" s="37">
        <f t="shared" ca="1" si="15"/>
        <v>5290000</v>
      </c>
      <c r="W89" s="37">
        <f t="shared" si="19"/>
        <v>1610000</v>
      </c>
      <c r="X89" s="37">
        <f t="shared" ca="1" si="19"/>
        <v>3680000</v>
      </c>
    </row>
    <row r="90" spans="6:24" s="87" customFormat="1" ht="17.25" thickBot="1" x14ac:dyDescent="0.35">
      <c r="F90" s="89"/>
      <c r="G90" s="89"/>
      <c r="H90" s="90"/>
      <c r="I90" s="90"/>
      <c r="J90" s="90" t="s">
        <v>127</v>
      </c>
      <c r="K90" s="90"/>
      <c r="L90" s="72">
        <f>L88+L89</f>
        <v>277582000</v>
      </c>
      <c r="M90" s="72">
        <f t="shared" ref="M90:X90" ca="1" si="20">M88+M89</f>
        <v>172000</v>
      </c>
      <c r="N90" s="72">
        <f t="shared" si="20"/>
        <v>16000000</v>
      </c>
      <c r="O90" s="72">
        <f t="shared" ca="1" si="20"/>
        <v>293754000</v>
      </c>
      <c r="P90" s="72">
        <f t="shared" si="20"/>
        <v>2600000</v>
      </c>
      <c r="Q90" s="91">
        <f t="shared" si="20"/>
        <v>18600000</v>
      </c>
      <c r="R90" s="72">
        <f>R88+R89</f>
        <v>2073000</v>
      </c>
      <c r="S90" s="72">
        <f t="shared" si="20"/>
        <v>1640000</v>
      </c>
      <c r="T90" s="72">
        <f t="shared" si="20"/>
        <v>263000</v>
      </c>
      <c r="U90" s="72">
        <f>U88+U89</f>
        <v>1075000</v>
      </c>
      <c r="V90" s="72">
        <f t="shared" ca="1" si="15"/>
        <v>301405000</v>
      </c>
      <c r="W90" s="72">
        <f t="shared" si="20"/>
        <v>290121000</v>
      </c>
      <c r="X90" s="72">
        <f t="shared" ca="1" si="20"/>
        <v>11284000</v>
      </c>
    </row>
    <row r="91" spans="6:24" s="4" customFormat="1" ht="15.75" thickTop="1" x14ac:dyDescent="0.25">
      <c r="L91" s="93">
        <f>L85-L90</f>
        <v>0</v>
      </c>
      <c r="M91" s="93">
        <f t="shared" ref="M91:X91" ca="1" si="21">M85-M90</f>
        <v>0</v>
      </c>
      <c r="N91" s="93">
        <f t="shared" si="21"/>
        <v>0</v>
      </c>
      <c r="O91" s="93">
        <f t="shared" ca="1" si="21"/>
        <v>0</v>
      </c>
      <c r="P91" s="93">
        <f t="shared" si="21"/>
        <v>0</v>
      </c>
      <c r="Q91" s="93">
        <f t="shared" si="21"/>
        <v>0</v>
      </c>
      <c r="R91" s="93">
        <f>R85-R90</f>
        <v>0</v>
      </c>
      <c r="S91" s="93">
        <f t="shared" si="21"/>
        <v>0</v>
      </c>
      <c r="T91" s="93">
        <f t="shared" si="21"/>
        <v>0</v>
      </c>
      <c r="U91" s="93">
        <f>U85-U90</f>
        <v>0</v>
      </c>
      <c r="V91" s="93">
        <f t="shared" ca="1" si="15"/>
        <v>0</v>
      </c>
      <c r="W91" s="93">
        <f t="shared" si="21"/>
        <v>0</v>
      </c>
      <c r="X91" s="93">
        <f t="shared" ca="1" si="21"/>
        <v>0</v>
      </c>
    </row>
    <row r="92" spans="6:24" ht="16.5" x14ac:dyDescent="0.3">
      <c r="J92" s="94" t="s">
        <v>144</v>
      </c>
      <c r="K92" s="94"/>
      <c r="L92" s="95">
        <f ca="1">L85+N85+T85+M85+U85</f>
        <v>295092000</v>
      </c>
      <c r="M92" s="95"/>
      <c r="S92" s="95"/>
    </row>
    <row r="93" spans="6:24" ht="16.5" x14ac:dyDescent="0.3">
      <c r="J93" s="94" t="s">
        <v>145</v>
      </c>
      <c r="K93" s="94"/>
      <c r="L93" s="95">
        <f>+P85+S85+R85</f>
        <v>6313000</v>
      </c>
      <c r="M93" s="95"/>
      <c r="S93" s="95"/>
    </row>
    <row r="94" spans="6:24" ht="16.5" x14ac:dyDescent="0.3">
      <c r="J94" s="94" t="s">
        <v>146</v>
      </c>
      <c r="K94" s="94"/>
      <c r="L94" s="95">
        <f ca="1">L92+L93</f>
        <v>301405000</v>
      </c>
      <c r="M94" s="95"/>
      <c r="S94" s="95"/>
    </row>
    <row r="95" spans="6:24" x14ac:dyDescent="0.25">
      <c r="L95" s="92">
        <f ca="1">L94-V85</f>
        <v>0</v>
      </c>
      <c r="M95" s="92"/>
      <c r="S95" s="92"/>
    </row>
    <row r="96" spans="6:24" x14ac:dyDescent="0.25">
      <c r="L96" s="92">
        <v>0</v>
      </c>
      <c r="M96" s="92"/>
      <c r="S96" s="92"/>
    </row>
    <row r="98" spans="9:15" x14ac:dyDescent="0.25">
      <c r="I98"/>
      <c r="J98"/>
      <c r="K98"/>
      <c r="L98" s="96"/>
      <c r="M98"/>
      <c r="N98" s="97"/>
      <c r="O98" s="3"/>
    </row>
    <row r="99" spans="9:15" x14ac:dyDescent="0.25">
      <c r="I99"/>
      <c r="J99"/>
      <c r="K99"/>
      <c r="L99" s="96"/>
      <c r="M99"/>
      <c r="N99" s="98"/>
      <c r="O99" s="99"/>
    </row>
    <row r="100" spans="9:15" s="105" customFormat="1" x14ac:dyDescent="0.2">
      <c r="I100" s="100"/>
      <c r="J100" s="101"/>
      <c r="K100" s="100"/>
      <c r="L100" s="102"/>
      <c r="M100" s="100"/>
      <c r="N100" s="103"/>
      <c r="O100" s="104"/>
    </row>
    <row r="101" spans="9:15" x14ac:dyDescent="0.25">
      <c r="I101" s="100"/>
      <c r="J101" s="101"/>
      <c r="K101" s="100"/>
      <c r="L101" s="106"/>
      <c r="M101" s="107"/>
      <c r="N101" s="98"/>
    </row>
    <row r="102" spans="9:15" s="4" customFormat="1" x14ac:dyDescent="0.25">
      <c r="I102" s="108"/>
      <c r="J102" s="109"/>
      <c r="K102" s="108"/>
      <c r="L102" s="110"/>
      <c r="M102" s="108"/>
      <c r="N102" s="99"/>
    </row>
    <row r="103" spans="9:15" x14ac:dyDescent="0.25">
      <c r="I103"/>
      <c r="J103" s="111"/>
      <c r="K103" s="112"/>
      <c r="L103" s="19"/>
      <c r="M103"/>
      <c r="N103" s="98"/>
    </row>
    <row r="104" spans="9:15" x14ac:dyDescent="0.25">
      <c r="I104" s="113"/>
      <c r="J104" s="109"/>
      <c r="K104" s="113"/>
      <c r="L104" s="114"/>
      <c r="M104" s="113"/>
      <c r="N104" s="98"/>
    </row>
    <row r="105" spans="9:15" x14ac:dyDescent="0.25">
      <c r="N105" s="98"/>
    </row>
  </sheetData>
  <mergeCells count="1">
    <mergeCell ref="F2:H2"/>
  </mergeCells>
  <conditionalFormatting sqref="X1:X11">
    <cfRule type="cellIs" dxfId="33" priority="28" stopIfTrue="1" operator="greaterThan">
      <formula>0</formula>
    </cfRule>
  </conditionalFormatting>
  <conditionalFormatting sqref="X1:X1048576">
    <cfRule type="cellIs" dxfId="32" priority="1" stopIfTrue="1" operator="lessThan">
      <formula>0</formula>
    </cfRule>
  </conditionalFormatting>
  <conditionalFormatting sqref="X2:X6 X9:X11 X13:X21 X23 X27:X33 X35:X47 X74 X92:X65538">
    <cfRule type="cellIs" dxfId="31" priority="54" stopIfTrue="1" operator="greaterThan">
      <formula>0</formula>
    </cfRule>
  </conditionalFormatting>
  <conditionalFormatting sqref="X7:X8">
    <cfRule type="cellIs" dxfId="30" priority="26" stopIfTrue="1" operator="greaterThan">
      <formula>0</formula>
    </cfRule>
    <cfRule type="cellIs" dxfId="29" priority="27" stopIfTrue="1" operator="lessThan">
      <formula>0</formula>
    </cfRule>
  </conditionalFormatting>
  <conditionalFormatting sqref="X12">
    <cfRule type="cellIs" dxfId="28" priority="22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</conditionalFormatting>
  <conditionalFormatting sqref="X13:X21 X23 X2:X6 X9:X11 X27:X33 X35:X47 X74 X92:X65538">
    <cfRule type="cellIs" dxfId="25" priority="53" stopIfTrue="1" operator="lessThan">
      <formula>0</formula>
    </cfRule>
  </conditionalFormatting>
  <conditionalFormatting sqref="X13:X23">
    <cfRule type="cellIs" dxfId="24" priority="32" stopIfTrue="1" operator="greaterThan">
      <formula>0</formula>
    </cfRule>
  </conditionalFormatting>
  <conditionalFormatting sqref="X22">
    <cfRule type="cellIs" dxfId="23" priority="30" stopIfTrue="1" operator="greaterThan">
      <formula>0</formula>
    </cfRule>
    <cfRule type="cellIs" dxfId="22" priority="31" stopIfTrue="1" operator="lessThan">
      <formula>0</formula>
    </cfRule>
  </conditionalFormatting>
  <conditionalFormatting sqref="X24:X26">
    <cfRule type="cellIs" dxfId="21" priority="18" stopIfTrue="1" operator="greaterThan">
      <formula>0</formula>
    </cfRule>
    <cfRule type="cellIs" dxfId="20" priority="19" stopIfTrue="1" operator="lessThan">
      <formula>0</formula>
    </cfRule>
  </conditionalFormatting>
  <conditionalFormatting sqref="X24:X33">
    <cfRule type="cellIs" dxfId="19" priority="20" stopIfTrue="1" operator="greaterThan">
      <formula>0</formula>
    </cfRule>
  </conditionalFormatting>
  <conditionalFormatting sqref="X34">
    <cfRule type="cellIs" dxfId="18" priority="15" stopIfTrue="1" operator="lessThan">
      <formula>0</formula>
    </cfRule>
    <cfRule type="cellIs" dxfId="17" priority="14" stopIfTrue="1" operator="greaterThan">
      <formula>0</formula>
    </cfRule>
  </conditionalFormatting>
  <conditionalFormatting sqref="X34:X47">
    <cfRule type="cellIs" dxfId="16" priority="16" stopIfTrue="1" operator="greaterThan">
      <formula>0</formula>
    </cfRule>
  </conditionalFormatting>
  <conditionalFormatting sqref="X48">
    <cfRule type="cellIs" dxfId="15" priority="10" stopIfTrue="1" operator="greaterThan">
      <formula>0</formula>
    </cfRule>
    <cfRule type="cellIs" dxfId="14" priority="11" stopIfTrue="1" operator="lessThan">
      <formula>0</formula>
    </cfRule>
  </conditionalFormatting>
  <conditionalFormatting sqref="X48:X72">
    <cfRule type="cellIs" dxfId="13" priority="12" stopIfTrue="1" operator="greaterThan">
      <formula>0</formula>
    </cfRule>
  </conditionalFormatting>
  <conditionalFormatting sqref="X49:X72">
    <cfRule type="cellIs" dxfId="12" priority="35" stopIfTrue="1" operator="lessThan">
      <formula>0</formula>
    </cfRule>
    <cfRule type="cellIs" dxfId="11" priority="36" stopIfTrue="1" operator="greaterThan">
      <formula>0</formula>
    </cfRule>
  </conditionalFormatting>
  <conditionalFormatting sqref="X73">
    <cfRule type="cellIs" dxfId="10" priority="6" stopIfTrue="1" operator="greaterThan">
      <formula>0</formula>
    </cfRule>
    <cfRule type="cellIs" dxfId="9" priority="7" stopIfTrue="1" operator="lessThan">
      <formula>0</formula>
    </cfRule>
  </conditionalFormatting>
  <conditionalFormatting sqref="X73:X74">
    <cfRule type="cellIs" dxfId="8" priority="8" stopIfTrue="1" operator="greaterThan">
      <formula>0</formula>
    </cfRule>
  </conditionalFormatting>
  <conditionalFormatting sqref="X75:X78">
    <cfRule type="cellIs" dxfId="7" priority="2" stopIfTrue="1" operator="greaterThan">
      <formula>0</formula>
    </cfRule>
    <cfRule type="cellIs" dxfId="6" priority="3" stopIfTrue="1" operator="lessThan">
      <formula>0</formula>
    </cfRule>
  </conditionalFormatting>
  <conditionalFormatting sqref="X75:X1048576">
    <cfRule type="cellIs" dxfId="5" priority="4" stopIfTrue="1" operator="greaterThan">
      <formula>0</formula>
    </cfRule>
  </conditionalFormatting>
  <conditionalFormatting sqref="X79:X89">
    <cfRule type="cellIs" dxfId="4" priority="39" stopIfTrue="1" operator="lessThan">
      <formula>0</formula>
    </cfRule>
    <cfRule type="cellIs" dxfId="3" priority="40" stopIfTrue="1" operator="greaterThan">
      <formula>0</formula>
    </cfRule>
  </conditionalFormatting>
  <conditionalFormatting sqref="Z2:Z3">
    <cfRule type="cellIs" dxfId="2" priority="55" operator="greaterThan">
      <formula>1</formula>
    </cfRule>
  </conditionalFormatting>
  <conditionalFormatting sqref="AA2:AA3">
    <cfRule type="cellIs" dxfId="1" priority="57" operator="greaterThan">
      <formula>0</formula>
    </cfRule>
    <cfRule type="cellIs" dxfId="0" priority="56" operator="lessThan">
      <formula>0</formula>
    </cfRule>
  </conditionalFormatting>
  <pageMargins left="0.7" right="0.7" top="0.75" bottom="0.75" header="0.3" footer="0.3"/>
  <pageSetup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2025-10-21T09:55:19Z</dcterms:modified>
</cp:coreProperties>
</file>